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kogkursbiri.sharepoint.com/sites/2603Bedriftskforentrepr/Delte dokumenter/General/Arbeidsdokumenter/"/>
    </mc:Choice>
  </mc:AlternateContent>
  <xr:revisionPtr revIDLastSave="0" documentId="14_{67FAC1D5-8DFC-4E67-A5E4-96B24D1225B4}" xr6:coauthVersionLast="47" xr6:coauthVersionMax="47" xr10:uidLastSave="{00000000-0000-0000-0000-000000000000}"/>
  <workbookProtection workbookAlgorithmName="SHA-512" workbookHashValue="uyCah5JGl4I/t40QQPkkyhfOV+pX0NMot+CMzPsP8+AoOnvQAxYzNmYRgU61Ltz2YfAAIFDj/RgLdW49ImsY4Q==" workbookSaltValue="qB0a3sb8V0rWRnk2fLMdjg==" workbookSpinCount="100000" lockStructure="1"/>
  <bookViews>
    <workbookView xWindow="-120" yWindow="-120" windowWidth="29040" windowHeight="15720" tabRatio="954" firstSheet="1" activeTab="1" xr2:uid="{00000000-000D-0000-FFFF-FFFF00000000}"/>
  </bookViews>
  <sheets>
    <sheet name="Forside" sheetId="16" state="hidden" r:id="rId1"/>
    <sheet name="FORSIDE - Summerte kostnader" sheetId="1" r:id="rId2"/>
    <sheet name="Kapitalkostnad" sheetId="5" r:id="rId3"/>
    <sheet name="Hjulutrustning" sheetId="11" r:id="rId4"/>
    <sheet name="Lønn" sheetId="10" r:id="rId5"/>
    <sheet name="Administrasjon og planlegging" sheetId="13" r:id="rId6"/>
    <sheet name="Oljer og diesel" sheetId="7" r:id="rId7"/>
    <sheet name="Arbeidstøy og personlig utstyr" sheetId="15" r:id="rId8"/>
    <sheet name="Arbeidsbil" sheetId="12" r:id="rId9"/>
    <sheet name="Flytting" sheetId="14" r:id="rId10"/>
    <sheet name="Forsikring" sheetId="6" r:id="rId11"/>
    <sheet name="Service " sheetId="8" r:id="rId12"/>
    <sheet name="Reparasjoner" sheetId="9" r:id="rId13"/>
    <sheet name="Lassbærer SA" sheetId="2" state="hidden" r:id="rId14"/>
  </sheets>
  <definedNames>
    <definedName name="_xlnm.Print_Area" localSheetId="1">'FORSIDE - Summerte kostnader'!$A$5:$E$72</definedName>
    <definedName name="_xlnm.Print_Area" localSheetId="13">'Lassbærer SA'!$A$1:$L$60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 l="1"/>
  <c r="G12" i="14" l="1"/>
  <c r="H12" i="14" s="1"/>
  <c r="D30" i="5" l="1"/>
  <c r="D27" i="5"/>
  <c r="E8" i="12"/>
  <c r="F12" i="12"/>
  <c r="F8" i="12"/>
  <c r="G11" i="12"/>
  <c r="G10" i="12"/>
  <c r="G9" i="12"/>
  <c r="G8" i="12"/>
  <c r="B12" i="12"/>
  <c r="F11" i="12"/>
  <c r="F10" i="12"/>
  <c r="F9" i="12"/>
  <c r="B8" i="12"/>
  <c r="B6" i="12"/>
  <c r="B5" i="12"/>
  <c r="E5" i="12"/>
  <c r="E6" i="12"/>
  <c r="E11" i="12"/>
  <c r="E10" i="12"/>
  <c r="E9" i="12"/>
  <c r="D32" i="5" l="1"/>
  <c r="D33" i="5" s="1"/>
  <c r="D34" i="5" s="1"/>
  <c r="D20" i="1" s="1"/>
  <c r="F13" i="12"/>
  <c r="F15" i="12" s="1"/>
  <c r="F16" i="12" s="1"/>
  <c r="D31" i="1" s="1"/>
  <c r="F6" i="12"/>
  <c r="C9" i="15"/>
  <c r="H44" i="14" l="1"/>
  <c r="H41" i="14"/>
  <c r="G30" i="14"/>
  <c r="H30" i="14" s="1"/>
  <c r="G24" i="14"/>
  <c r="H24" i="14" s="1"/>
  <c r="E23" i="14"/>
  <c r="G21" i="14"/>
  <c r="H21" i="14" s="1"/>
  <c r="G15" i="14"/>
  <c r="H15" i="14" s="1"/>
  <c r="G10" i="14"/>
  <c r="H10" i="14" s="1"/>
  <c r="E14" i="14"/>
  <c r="E11" i="14"/>
  <c r="B18" i="1" l="1"/>
  <c r="D18" i="1"/>
  <c r="E18" i="7" l="1"/>
  <c r="E13" i="7"/>
  <c r="E12" i="7"/>
  <c r="D19" i="13"/>
  <c r="D10" i="13"/>
  <c r="D11" i="13" s="1"/>
  <c r="D27" i="1" s="1"/>
  <c r="C13" i="11"/>
  <c r="D26" i="1" s="1"/>
  <c r="C7" i="11"/>
  <c r="D25" i="1" s="1"/>
  <c r="B6" i="9"/>
  <c r="D24" i="1" s="1"/>
  <c r="C5" i="8"/>
  <c r="D23" i="1" s="1"/>
  <c r="E5" i="7"/>
  <c r="E6" i="7"/>
  <c r="E4" i="7"/>
  <c r="C4" i="6"/>
  <c r="D21" i="1" s="1"/>
  <c r="D8" i="5"/>
  <c r="E14" i="5"/>
  <c r="E15" i="5" s="1"/>
  <c r="D28" i="1" l="1"/>
  <c r="D32" i="14"/>
  <c r="G32" i="14" s="1"/>
  <c r="H32" i="14" s="1"/>
  <c r="D26" i="14"/>
  <c r="D17" i="14"/>
  <c r="G17" i="14" s="1"/>
  <c r="H17" i="14" s="1"/>
  <c r="D36" i="14"/>
  <c r="G36" i="14" s="1"/>
  <c r="H36" i="14" s="1"/>
  <c r="D21" i="13"/>
  <c r="D29" i="1" s="1"/>
  <c r="E19" i="7"/>
  <c r="D30" i="1" s="1"/>
  <c r="E7" i="7"/>
  <c r="D22" i="1" s="1"/>
  <c r="E16" i="5"/>
  <c r="G26" i="14" l="1"/>
  <c r="H26" i="14" s="1"/>
  <c r="H46" i="14" s="1"/>
  <c r="I46" i="14" s="1"/>
  <c r="D32" i="1" s="1"/>
  <c r="D33" i="1" s="1"/>
  <c r="E29" i="14"/>
  <c r="E17" i="5"/>
  <c r="D20" i="5" s="1"/>
  <c r="D23" i="5" l="1"/>
  <c r="D24" i="5" s="1"/>
  <c r="D19" i="1" s="1"/>
  <c r="C48" i="2"/>
  <c r="B50" i="2"/>
  <c r="B48" i="2" l="1"/>
  <c r="C59" i="2" l="1"/>
  <c r="C60" i="2" s="1"/>
  <c r="B59" i="2"/>
  <c r="B60" i="2" s="1"/>
  <c r="I26" i="2" s="1"/>
  <c r="J26" i="2" s="1"/>
  <c r="C57" i="2"/>
  <c r="B57" i="2"/>
  <c r="J25" i="2" l="1"/>
  <c r="C43" i="2"/>
  <c r="C44" i="2" s="1"/>
  <c r="J21" i="2" s="1"/>
  <c r="B43" i="2"/>
  <c r="B44" i="2" s="1"/>
  <c r="I21" i="2" s="1"/>
  <c r="C41" i="2"/>
  <c r="C42" i="2" s="1"/>
  <c r="J20" i="2" s="1"/>
  <c r="B41" i="2"/>
  <c r="B42" i="2" s="1"/>
  <c r="I20" i="2" s="1"/>
  <c r="D5" i="2"/>
  <c r="C5" i="2"/>
  <c r="C52" i="2"/>
  <c r="C53" i="2" s="1"/>
  <c r="J24" i="2" s="1"/>
  <c r="B52" i="2"/>
  <c r="B53" i="2" s="1"/>
  <c r="I24" i="2" s="1"/>
  <c r="I23" i="2"/>
  <c r="C37" i="2"/>
  <c r="C38" i="2" s="1"/>
  <c r="J18" i="2" s="1"/>
  <c r="B37" i="2"/>
  <c r="B38" i="2" s="1"/>
  <c r="I18" i="2" s="1"/>
  <c r="E32" i="2"/>
  <c r="D32" i="2"/>
  <c r="I25" i="2"/>
  <c r="E31" i="2"/>
  <c r="D31" i="2"/>
  <c r="E30" i="2"/>
  <c r="D30" i="2"/>
  <c r="J23" i="2"/>
  <c r="J22" i="2"/>
  <c r="I22" i="2"/>
  <c r="E26" i="2"/>
  <c r="J16" i="2" s="1"/>
  <c r="D26" i="2"/>
  <c r="I16" i="2" s="1"/>
  <c r="J14" i="2"/>
  <c r="I14" i="2"/>
  <c r="C10" i="2"/>
  <c r="D33" i="2" l="1"/>
  <c r="I17" i="2" s="1"/>
  <c r="J17" i="2" s="1"/>
  <c r="E33" i="2"/>
  <c r="C11" i="2"/>
  <c r="C12" i="2" l="1"/>
  <c r="D12" i="2"/>
  <c r="D13" i="2" l="1"/>
  <c r="C16" i="2" s="1"/>
  <c r="E20" i="2" s="1"/>
  <c r="E21" i="2" s="1"/>
  <c r="J15" i="2" s="1"/>
  <c r="C13" i="2"/>
  <c r="B16" i="2" s="1"/>
  <c r="D20" i="2" s="1"/>
  <c r="D21" i="2" s="1"/>
  <c r="I15" i="2" s="1"/>
  <c r="I27" i="2" l="1"/>
  <c r="I31" i="2" s="1"/>
  <c r="I32" i="2" s="1"/>
  <c r="J27" i="2"/>
  <c r="J31" i="2" s="1"/>
  <c r="J32" i="2" s="1"/>
  <c r="L19" i="2" l="1"/>
  <c r="J28" i="2"/>
  <c r="K19" i="2"/>
  <c r="I28" i="2"/>
  <c r="L17" i="2"/>
  <c r="L24" i="2"/>
  <c r="L16" i="2"/>
  <c r="L18" i="2"/>
  <c r="L21" i="2"/>
  <c r="L23" i="2"/>
  <c r="L25" i="2"/>
  <c r="L20" i="2"/>
  <c r="L22" i="2"/>
  <c r="L26" i="2"/>
  <c r="K21" i="2"/>
  <c r="K25" i="2"/>
  <c r="K17" i="2"/>
  <c r="K20" i="2"/>
  <c r="K22" i="2"/>
  <c r="K24" i="2"/>
  <c r="K26" i="2"/>
  <c r="K16" i="2"/>
  <c r="K18" i="2"/>
  <c r="K23" i="2"/>
  <c r="L15" i="2"/>
  <c r="K15" i="2"/>
  <c r="K31" i="2" l="1"/>
  <c r="K27" i="2"/>
  <c r="L31" i="2"/>
  <c r="L27" i="2"/>
  <c r="E31" i="1" l="1"/>
  <c r="D37" i="1"/>
  <c r="E37" i="1" s="1"/>
  <c r="E20" i="1"/>
  <c r="E24" i="1"/>
  <c r="E21" i="1"/>
  <c r="E19" i="1"/>
  <c r="E30" i="1"/>
  <c r="E22" i="1"/>
  <c r="E25" i="1"/>
  <c r="E29" i="1"/>
  <c r="E27" i="1"/>
  <c r="E23" i="1"/>
  <c r="E26" i="1"/>
  <c r="E32" i="1"/>
  <c r="E28"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C18" authorId="0" shapeId="0" xr:uid="{9E1D9BB1-F106-467D-8A29-24EC489ADB26}">
      <text>
        <r>
          <rPr>
            <b/>
            <sz val="11"/>
            <color indexed="81"/>
            <rFont val="Tahoma"/>
            <family val="2"/>
          </rPr>
          <t>Tallet settes i fanen "Kapitalkostnad"</t>
        </r>
        <r>
          <rPr>
            <sz val="11"/>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2" authorId="0" shapeId="0" xr:uid="{7AB9E450-FDDD-4EFE-B056-586A53D36F8F}">
      <text>
        <r>
          <rPr>
            <b/>
            <sz val="11"/>
            <color indexed="81"/>
            <rFont val="Tahoma"/>
            <family val="2"/>
          </rPr>
          <t>Rullegardinmeny</t>
        </r>
        <r>
          <rPr>
            <sz val="11"/>
            <color indexed="81"/>
            <rFont val="Tahoma"/>
            <family val="2"/>
          </rPr>
          <t xml:space="preserve">
</t>
        </r>
      </text>
    </comment>
    <comment ref="C2" authorId="0" shapeId="0" xr:uid="{204C014D-A3F1-4406-AE84-B3E6C7946DD3}">
      <text>
        <r>
          <rPr>
            <b/>
            <sz val="11"/>
            <color indexed="81"/>
            <rFont val="Tahoma"/>
            <family val="2"/>
          </rPr>
          <t>Rullegardinmeny</t>
        </r>
        <r>
          <rPr>
            <sz val="11"/>
            <color indexed="81"/>
            <rFont val="Tahoma"/>
            <family val="2"/>
          </rPr>
          <t xml:space="preserve">
</t>
        </r>
      </text>
    </comment>
    <comment ref="C5" authorId="0" shapeId="0" xr:uid="{1BF5AE81-831C-4864-AC34-299045FFBBEC}">
      <text>
        <r>
          <rPr>
            <b/>
            <sz val="11"/>
            <color indexed="81"/>
            <rFont val="Tahoma"/>
            <family val="2"/>
          </rPr>
          <t xml:space="preserve">NB! Maskinens brukstid
</t>
        </r>
        <r>
          <rPr>
            <sz val="11"/>
            <color indexed="81"/>
            <rFont val="Tahoma"/>
            <family val="2"/>
          </rPr>
          <t xml:space="preserve">Førerens tid fastsettes under fanen "lønn"
</t>
        </r>
      </text>
    </comment>
    <comment ref="C32" authorId="0" shapeId="0" xr:uid="{FD5A4FE2-0156-4381-B107-8851C343F18B}">
      <text>
        <r>
          <rPr>
            <sz val="11"/>
            <color indexed="81"/>
            <rFont val="Tahoma"/>
            <family val="2"/>
          </rPr>
          <t xml:space="preserve">
Sett eventuelt inn annet beløp fra egen beregning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5" authorId="0" shapeId="0" xr:uid="{FF09B63A-F10C-4588-B394-7A1832177A3E}">
      <text>
        <r>
          <rPr>
            <b/>
            <sz val="11"/>
            <color indexed="81"/>
            <rFont val="Tahoma"/>
            <family val="2"/>
          </rPr>
          <t xml:space="preserve">
Uten uhell kan dekkene vare maskinens levetid ut</t>
        </r>
      </text>
    </comment>
    <comment ref="B12" authorId="0" shapeId="0" xr:uid="{6466C8FC-4C99-4695-A8A7-559CA2D8C292}">
      <text>
        <r>
          <rPr>
            <b/>
            <sz val="11"/>
            <color indexed="81"/>
            <rFont val="Tahoma"/>
            <family val="2"/>
          </rPr>
          <t xml:space="preserve">
Pigger og arbeid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6" authorId="0" shapeId="0" xr:uid="{EE6CE165-B525-4C8F-9D31-EA13DB043E6D}">
      <text>
        <r>
          <rPr>
            <b/>
            <sz val="11"/>
            <color indexed="81"/>
            <rFont val="Tahoma"/>
            <family val="2"/>
          </rPr>
          <t>Gjeldende i 2023:</t>
        </r>
        <r>
          <rPr>
            <sz val="11"/>
            <color indexed="81"/>
            <rFont val="Tahoma"/>
            <family val="2"/>
          </rPr>
          <t xml:space="preserve">
10,2 % i ferieloven.
Alle som har en fagforeningsavtale har 2,3 % ekstra
</t>
        </r>
      </text>
    </comment>
    <comment ref="B7" authorId="0" shapeId="0" xr:uid="{7A82A66F-B44D-4B22-9FAE-D45EE68A7B19}">
      <text>
        <r>
          <rPr>
            <b/>
            <sz val="11"/>
            <color indexed="81"/>
            <rFont val="Tahoma"/>
            <family val="2"/>
          </rPr>
          <t>Gjeldende i 2023:</t>
        </r>
        <r>
          <rPr>
            <sz val="11"/>
            <color indexed="81"/>
            <rFont val="Tahoma"/>
            <family val="2"/>
          </rPr>
          <t xml:space="preserve">
Differensierte satser rundt om i landet.
+ 5 % på lønninger over 750.000 </t>
        </r>
      </text>
    </comment>
    <comment ref="B9" authorId="0" shapeId="0" xr:uid="{7792EDD8-6242-4B82-852F-42D1476670BD}">
      <text>
        <r>
          <rPr>
            <b/>
            <sz val="11"/>
            <color indexed="81"/>
            <rFont val="Tahoma"/>
            <family val="2"/>
          </rPr>
          <t>Gjeldende i 2023:</t>
        </r>
        <r>
          <rPr>
            <sz val="11"/>
            <color indexed="81"/>
            <rFont val="Tahoma"/>
            <family val="2"/>
          </rPr>
          <t xml:space="preserve">
Minste sats bedriften må betale er 2 %
Sjekk hva bedriften har slags avtale
+ 5 % på lønninger over 750.000 </t>
        </r>
      </text>
    </comment>
    <comment ref="B10" authorId="0" shapeId="0" xr:uid="{DC23FC89-E64D-401C-85BB-ADBF06D05FF7}">
      <text>
        <r>
          <rPr>
            <b/>
            <sz val="11"/>
            <color indexed="81"/>
            <rFont val="Tahoma"/>
            <family val="2"/>
          </rPr>
          <t>Ingen fast sats</t>
        </r>
        <r>
          <rPr>
            <sz val="11"/>
            <color indexed="81"/>
            <rFont val="Tahoma"/>
            <family val="2"/>
          </rPr>
          <t xml:space="preserve">
</t>
        </r>
      </text>
    </comment>
    <comment ref="B11" authorId="0" shapeId="0" xr:uid="{8235BF80-0BC4-4630-8125-E0AC56A814CD}">
      <text>
        <r>
          <rPr>
            <b/>
            <sz val="11"/>
            <color indexed="81"/>
            <rFont val="Tahoma"/>
            <family val="2"/>
          </rPr>
          <t xml:space="preserve">Resten av tiden er avbruddstid, </t>
        </r>
        <r>
          <rPr>
            <sz val="11"/>
            <color indexed="81"/>
            <rFont val="Tahoma"/>
            <family val="2"/>
          </rPr>
          <t>slik som
- matpauser,
- service, reparasjon og vedlikehold,
- planlegging
- fravær
- kurs og opplæring</t>
        </r>
        <r>
          <rPr>
            <b/>
            <sz val="11"/>
            <color indexed="81"/>
            <rFont val="Tahoma"/>
            <family val="2"/>
          </rPr>
          <t xml:space="preserve">
</t>
        </r>
        <r>
          <rPr>
            <sz val="11"/>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D16" authorId="0" shapeId="0" xr:uid="{A9945AD5-11FF-4D00-BFB4-207B684863BE}">
      <text>
        <r>
          <rPr>
            <b/>
            <sz val="11"/>
            <color indexed="81"/>
            <rFont val="Tahoma"/>
            <family val="2"/>
          </rPr>
          <t xml:space="preserve">Husk at en planleggingen som oftest er for to maskiner (hogstmaskin og lassbærer)
</t>
        </r>
        <r>
          <rPr>
            <sz val="11"/>
            <color indexed="81"/>
            <rFont val="Tahoma"/>
            <family val="2"/>
          </rPr>
          <t xml:space="preserve">
</t>
        </r>
      </text>
    </comment>
    <comment ref="C20" authorId="0" shapeId="0" xr:uid="{7F295BBB-A0D6-49AE-B785-AD5DA9A7A888}">
      <text>
        <r>
          <rPr>
            <b/>
            <sz val="11"/>
            <color indexed="81"/>
            <rFont val="Tahoma"/>
            <family val="2"/>
          </rPr>
          <t xml:space="preserve">Husk at en planleggingen som oftest er for to maskiner (hogstmaskin og lassbærer)
</t>
        </r>
        <r>
          <rPr>
            <sz val="11"/>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E3" authorId="0" shapeId="0" xr:uid="{A69D54C8-4D58-42AF-8656-7C50A082460F}">
      <text>
        <r>
          <rPr>
            <b/>
            <sz val="11"/>
            <color indexed="81"/>
            <rFont val="Tahoma"/>
            <family val="2"/>
          </rPr>
          <t>Rullegardinmeny</t>
        </r>
        <r>
          <rPr>
            <sz val="11"/>
            <color indexed="81"/>
            <rFont val="Tahoma"/>
            <family val="2"/>
          </rPr>
          <t xml:space="preserve">
</t>
        </r>
      </text>
    </comment>
    <comment ref="F12" authorId="0" shapeId="0" xr:uid="{AB7A1531-F6D5-4683-984D-21181093AC04}">
      <text>
        <r>
          <rPr>
            <b/>
            <sz val="11"/>
            <color indexed="81"/>
            <rFont val="Tahoma"/>
            <family val="2"/>
          </rPr>
          <t>Kan være mer enn 1 bil dersom det f.eks.. kjøres skift på denne maskinen.</t>
        </r>
        <r>
          <rPr>
            <sz val="11"/>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F9" authorId="0" shapeId="0" xr:uid="{BAE7CBE7-CB96-492E-81CE-E2036DD51954}">
      <text>
        <r>
          <rPr>
            <b/>
            <sz val="12"/>
            <color indexed="81"/>
            <rFont val="Tahoma"/>
            <family val="2"/>
          </rPr>
          <t>Beregnes bare dersom flyttebil benyttes</t>
        </r>
        <r>
          <rPr>
            <sz val="6"/>
            <color indexed="81"/>
            <rFont val="Tahoma"/>
            <family val="2"/>
          </rPr>
          <t xml:space="preserve">
</t>
        </r>
        <r>
          <rPr>
            <sz val="12"/>
            <color indexed="81"/>
            <rFont val="Tahoma"/>
            <family val="2"/>
          </rPr>
          <t xml:space="preserve">Leid eller egen flyttebil koster det samme. Kostnadsen beregnes som timepris for bilen. </t>
        </r>
        <r>
          <rPr>
            <sz val="6"/>
            <color indexed="81"/>
            <rFont val="Tahoma"/>
            <family val="2"/>
          </rPr>
          <t xml:space="preserve">
</t>
        </r>
        <r>
          <rPr>
            <sz val="12"/>
            <color indexed="81"/>
            <rFont val="Tahoma"/>
            <family val="2"/>
          </rPr>
          <t xml:space="preserve">Minstetid 1,5 time pr maskinflytt.
</t>
        </r>
        <r>
          <rPr>
            <b/>
            <sz val="12"/>
            <color indexed="81"/>
            <rFont val="Tahoma"/>
            <family val="2"/>
          </rPr>
          <t>NB:</t>
        </r>
        <r>
          <rPr>
            <sz val="12"/>
            <color indexed="81"/>
            <rFont val="Tahoma"/>
            <family val="2"/>
          </rPr>
          <t xml:space="preserve">
Eventuell tapt produksjon beregnes på linja under.</t>
        </r>
      </text>
    </comment>
    <comment ref="F11" authorId="0" shapeId="0" xr:uid="{3B2CE868-6547-4101-9990-D2603CC5E501}">
      <text>
        <r>
          <rPr>
            <u/>
            <sz val="6"/>
            <color indexed="81"/>
            <rFont val="Tahoma"/>
            <family val="2"/>
          </rPr>
          <t xml:space="preserve">
</t>
        </r>
        <r>
          <rPr>
            <sz val="12"/>
            <color indexed="81"/>
            <rFont val="Tahoma"/>
            <family val="2"/>
          </rPr>
          <t xml:space="preserve">Kostnaden skal bare beregnes </t>
        </r>
        <r>
          <rPr>
            <b/>
            <sz val="12"/>
            <color indexed="81"/>
            <rFont val="Tahoma"/>
            <family val="2"/>
          </rPr>
          <t xml:space="preserve">når flyttingen foregår innenfor førerens arbeidstid og tida ikke kan brukes til nødvendig vedlikehold som smøring etc. </t>
        </r>
        <r>
          <rPr>
            <b/>
            <sz val="6"/>
            <color indexed="81"/>
            <rFont val="Tahoma"/>
            <family val="2"/>
          </rPr>
          <t xml:space="preserve">
</t>
        </r>
        <r>
          <rPr>
            <sz val="12"/>
            <color indexed="81"/>
            <rFont val="Tahoma"/>
            <family val="2"/>
          </rPr>
          <t>Tiden består av 2 element:
 - Venter på at bilen skal komme
 - Selve flyttetiden</t>
        </r>
        <r>
          <rPr>
            <sz val="6"/>
            <color indexed="81"/>
            <rFont val="Tahoma"/>
            <family val="2"/>
          </rPr>
          <t xml:space="preserve">
</t>
        </r>
        <r>
          <rPr>
            <sz val="12"/>
            <color indexed="81"/>
            <rFont val="Tahoma"/>
            <family val="2"/>
          </rPr>
          <t xml:space="preserve">Kostnaden dekker
 ● Førerlønn
 ● Faste kostnader
</t>
        </r>
        <r>
          <rPr>
            <b/>
            <sz val="12"/>
            <color indexed="81"/>
            <rFont val="Tahoma"/>
            <family val="2"/>
          </rPr>
          <t xml:space="preserve">HUSK: </t>
        </r>
        <r>
          <rPr>
            <sz val="12"/>
            <color indexed="81"/>
            <rFont val="Tahoma"/>
            <family val="2"/>
          </rPr>
          <t>Timeantallet er for 1 maskin</t>
        </r>
      </text>
    </comment>
    <comment ref="F12" authorId="0" shapeId="0" xr:uid="{4E0162B5-68B9-4AB8-BEDC-873F52802535}">
      <text>
        <r>
          <rPr>
            <u/>
            <sz val="6"/>
            <color indexed="81"/>
            <rFont val="Tahoma"/>
            <family val="2"/>
          </rPr>
          <t xml:space="preserve">
</t>
        </r>
        <r>
          <rPr>
            <b/>
            <sz val="12"/>
            <color indexed="81"/>
            <rFont val="Tahoma"/>
            <family val="2"/>
          </rPr>
          <t xml:space="preserve">NB! 
</t>
        </r>
        <r>
          <rPr>
            <sz val="12"/>
            <color indexed="81"/>
            <rFont val="Tahoma"/>
            <family val="2"/>
          </rPr>
          <t xml:space="preserve">
Vanlig timepris 
÷ variable kostnader som diesel, sverd og kjeder. 
</t>
        </r>
      </text>
    </comment>
    <comment ref="F14" authorId="0" shapeId="0" xr:uid="{9C54B58B-15A2-40F5-80B4-04134A1E1563}">
      <text>
        <r>
          <rPr>
            <u/>
            <sz val="6"/>
            <color indexed="81"/>
            <rFont val="Tahoma"/>
            <family val="2"/>
          </rPr>
          <t xml:space="preserve">
</t>
        </r>
        <r>
          <rPr>
            <sz val="12"/>
            <color indexed="81"/>
            <rFont val="Tahoma"/>
            <family val="2"/>
          </rPr>
          <t xml:space="preserve">Hvis følgebilen kjøres av maskinføreren, som allikevel har ventetid (ovenfor), beregnes </t>
        </r>
        <r>
          <rPr>
            <b/>
            <u/>
            <sz val="12"/>
            <color indexed="81"/>
            <rFont val="Tahoma"/>
            <family val="2"/>
          </rPr>
          <t>ikke</t>
        </r>
        <r>
          <rPr>
            <sz val="12"/>
            <color indexed="81"/>
            <rFont val="Tahoma"/>
            <family val="2"/>
          </rPr>
          <t xml:space="preserve"> følgebilkostnaden. 
Kostnaden beregnes dersom følgebil m/ sjåfør er innleid eller kjøres av en annen ansatt i firmaet.
</t>
        </r>
        <r>
          <rPr>
            <b/>
            <sz val="12"/>
            <color indexed="81"/>
            <rFont val="Tahoma"/>
            <family val="2"/>
          </rPr>
          <t>NB</t>
        </r>
        <r>
          <rPr>
            <sz val="12"/>
            <color indexed="81"/>
            <rFont val="Tahoma"/>
            <family val="2"/>
          </rPr>
          <t xml:space="preserve">
Husk - Tur/retur
</t>
        </r>
        <r>
          <rPr>
            <i/>
            <sz val="12"/>
            <color indexed="81"/>
            <rFont val="Tahoma"/>
            <family val="2"/>
          </rPr>
          <t>NB: Minstepris må påregnes for hver maskin,
 ettersom de sjelden flyttes samtidig.</t>
        </r>
      </text>
    </comment>
    <comment ref="F15" authorId="0" shapeId="0" xr:uid="{A1C7766F-E472-4110-8A2D-A9896FBE454A}">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16" authorId="0" shapeId="0" xr:uid="{118A9DEE-F94F-48DB-9817-9781664257CD}">
      <text>
        <r>
          <rPr>
            <u/>
            <sz val="6"/>
            <color indexed="81"/>
            <rFont val="Tahoma"/>
            <family val="2"/>
          </rPr>
          <t xml:space="preserve">
</t>
        </r>
        <r>
          <rPr>
            <b/>
            <sz val="12"/>
            <color indexed="81"/>
            <rFont val="Tahoma"/>
            <family val="2"/>
          </rPr>
          <t xml:space="preserve">NB! 
</t>
        </r>
        <r>
          <rPr>
            <sz val="12"/>
            <color indexed="81"/>
            <rFont val="Tahoma"/>
            <family val="2"/>
          </rPr>
          <t xml:space="preserve">
Fylles bare ut dersom sjåføren på følgebil er en annen en maskinføreren
Forhåndsutfylt pris er hentet fra arkfanen "Lønn".
Kan endres. 
</t>
        </r>
      </text>
    </comment>
    <comment ref="F17" authorId="0" shapeId="0" xr:uid="{C701AEDE-1290-4281-B443-0835E4850395}">
      <text>
        <r>
          <rPr>
            <b/>
            <sz val="12"/>
            <color indexed="81"/>
            <rFont val="Tahoma"/>
            <family val="2"/>
          </rPr>
          <t xml:space="preserve">
NB!
</t>
        </r>
        <r>
          <rPr>
            <sz val="12"/>
            <color indexed="81"/>
            <rFont val="Tahoma"/>
            <family val="2"/>
          </rPr>
          <t xml:space="preserve">
Forhåndsutfylt pris er hentet fra arkfanen "Lønn"
Kan endres. </t>
        </r>
      </text>
    </comment>
    <comment ref="F20" authorId="0" shapeId="0" xr:uid="{2096B09D-FC10-4C01-8D04-01ADF1597263}">
      <text>
        <r>
          <rPr>
            <b/>
            <sz val="12"/>
            <color indexed="81"/>
            <rFont val="Tahoma"/>
            <family val="2"/>
          </rPr>
          <t>Beregnes bare dersom flyttebil benyttes</t>
        </r>
        <r>
          <rPr>
            <sz val="6"/>
            <color indexed="81"/>
            <rFont val="Tahoma"/>
            <family val="2"/>
          </rPr>
          <t xml:space="preserve">
</t>
        </r>
        <r>
          <rPr>
            <sz val="12"/>
            <color indexed="81"/>
            <rFont val="Tahoma"/>
            <family val="2"/>
          </rPr>
          <t xml:space="preserve">Leid eller egen flyttebil koster det samme. Kostnadsen beregnes som timepris for bilen. </t>
        </r>
        <r>
          <rPr>
            <sz val="6"/>
            <color indexed="81"/>
            <rFont val="Tahoma"/>
            <family val="2"/>
          </rPr>
          <t xml:space="preserve">
</t>
        </r>
        <r>
          <rPr>
            <sz val="12"/>
            <color indexed="81"/>
            <rFont val="Tahoma"/>
            <family val="2"/>
          </rPr>
          <t xml:space="preserve">Minstetid 1,5 time pr maskinflytt.
</t>
        </r>
        <r>
          <rPr>
            <b/>
            <sz val="12"/>
            <color indexed="81"/>
            <rFont val="Tahoma"/>
            <family val="2"/>
          </rPr>
          <t>NB:</t>
        </r>
        <r>
          <rPr>
            <sz val="12"/>
            <color indexed="81"/>
            <rFont val="Tahoma"/>
            <family val="2"/>
          </rPr>
          <t xml:space="preserve">
Eventuell tapt produksjon beregnes på linja under.</t>
        </r>
      </text>
    </comment>
    <comment ref="F21" authorId="0" shapeId="0" xr:uid="{03097C3B-7944-407F-A2C8-63D1027DE222}">
      <text>
        <r>
          <rPr>
            <b/>
            <sz val="12"/>
            <color indexed="81"/>
            <rFont val="Tahoma"/>
            <family val="2"/>
          </rPr>
          <t xml:space="preserve">Normal timepris anslås
  </t>
        </r>
        <r>
          <rPr>
            <sz val="12"/>
            <color indexed="81"/>
            <rFont val="Tahoma"/>
            <family val="2"/>
          </rPr>
          <t xml:space="preserve"> faste kostnader 
+ varaible kostnader
+ lønn</t>
        </r>
      </text>
    </comment>
    <comment ref="F23" authorId="0" shapeId="0" xr:uid="{EB7322DD-1B8C-4BE2-A1EF-C031CFD8A7F5}">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24" authorId="0" shapeId="0" xr:uid="{63C99206-F0CF-4511-AA89-514036048BB2}">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25" authorId="0" shapeId="0" xr:uid="{B40D989B-4BCD-41C0-B491-D67B9C946BB2}">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26" authorId="0" shapeId="0" xr:uid="{C698B895-6B42-426B-B695-6019AB142D8A}">
      <text>
        <r>
          <rPr>
            <b/>
            <sz val="12"/>
            <color indexed="81"/>
            <rFont val="Tahoma"/>
            <family val="2"/>
          </rPr>
          <t xml:space="preserve">
NB!
</t>
        </r>
        <r>
          <rPr>
            <sz val="12"/>
            <color indexed="81"/>
            <rFont val="Tahoma"/>
            <family val="2"/>
          </rPr>
          <t xml:space="preserve">
Forhåndsutfylt pris er hentet fra arkfanen "Lønn"
Kan endres. </t>
        </r>
      </text>
    </comment>
    <comment ref="F29" authorId="0" shapeId="0" xr:uid="{2F8C532C-E6F0-4E3D-8303-C4D101DEB46B}">
      <text>
        <r>
          <rPr>
            <sz val="12"/>
            <color indexed="81"/>
            <rFont val="Tahoma"/>
            <family val="2"/>
          </rPr>
          <t xml:space="preserve">
</t>
        </r>
        <r>
          <rPr>
            <b/>
            <sz val="12"/>
            <color indexed="81"/>
            <rFont val="Tahoma"/>
            <family val="2"/>
          </rPr>
          <t xml:space="preserve">Snitt pr drift 
</t>
        </r>
        <r>
          <rPr>
            <sz val="12"/>
            <color indexed="81"/>
            <rFont val="Tahoma"/>
            <family val="2"/>
          </rPr>
          <t xml:space="preserve">
Husk - Tur/retur
</t>
        </r>
      </text>
    </comment>
    <comment ref="F30" authorId="0" shapeId="0" xr:uid="{D9DD241E-885B-47F2-BADB-2AABF21A5ECD}">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31" authorId="0" shapeId="0" xr:uid="{8938B7E1-1AC7-4B8B-8426-0F4C303E2CF4}">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32" authorId="0" shapeId="0" xr:uid="{F0030D5F-FDB1-4445-95C3-34556EEF67C4}">
      <text>
        <r>
          <rPr>
            <b/>
            <sz val="12"/>
            <color indexed="81"/>
            <rFont val="Tahoma"/>
            <family val="2"/>
          </rPr>
          <t xml:space="preserve">
NB!
</t>
        </r>
        <r>
          <rPr>
            <sz val="12"/>
            <color indexed="81"/>
            <rFont val="Tahoma"/>
            <family val="2"/>
          </rPr>
          <t xml:space="preserve">
Forhåndsutfylt pris er hentet fra arkfanen "Lønn"
Kan endres. </t>
        </r>
      </text>
    </comment>
    <comment ref="F35" authorId="0" shapeId="0" xr:uid="{473D75FA-CF75-483D-94A0-84A395586C11}">
      <text>
        <r>
          <rPr>
            <u/>
            <sz val="6"/>
            <color indexed="81"/>
            <rFont val="Tahoma"/>
            <family val="2"/>
          </rPr>
          <t xml:space="preserve">
</t>
        </r>
        <r>
          <rPr>
            <b/>
            <sz val="12"/>
            <color indexed="81"/>
            <rFont val="Tahoma"/>
            <family val="2"/>
          </rPr>
          <t>Belter:</t>
        </r>
        <r>
          <rPr>
            <sz val="12"/>
            <color indexed="81"/>
            <rFont val="Tahoma"/>
            <family val="2"/>
          </rPr>
          <t xml:space="preserve">
2 mann (sjåfør + hjelpemann) bruker 2 timer å ta av å sette på belter. </t>
        </r>
        <r>
          <rPr>
            <sz val="6"/>
            <color indexed="81"/>
            <rFont val="Tahoma"/>
            <family val="2"/>
          </rPr>
          <t xml:space="preserve">
</t>
        </r>
        <r>
          <rPr>
            <b/>
            <sz val="18"/>
            <color indexed="81"/>
            <rFont val="Tahoma"/>
            <family val="2"/>
          </rPr>
          <t>→</t>
        </r>
        <r>
          <rPr>
            <sz val="16"/>
            <color indexed="81"/>
            <rFont val="Tahoma"/>
            <family val="2"/>
          </rPr>
          <t xml:space="preserve"> </t>
        </r>
        <r>
          <rPr>
            <b/>
            <sz val="12"/>
            <color indexed="81"/>
            <rFont val="Tahoma"/>
            <family val="2"/>
          </rPr>
          <t>2 maskintimer (kun fast kostnader) + 4 lønnstimer</t>
        </r>
        <r>
          <rPr>
            <sz val="12"/>
            <color indexed="81"/>
            <rFont val="Tahoma"/>
            <family val="2"/>
          </rPr>
          <t xml:space="preserve">
</t>
        </r>
        <r>
          <rPr>
            <b/>
            <sz val="12"/>
            <color indexed="81"/>
            <rFont val="Tahoma"/>
            <family val="2"/>
          </rPr>
          <t>Kjettinger:</t>
        </r>
        <r>
          <rPr>
            <sz val="12"/>
            <color indexed="81"/>
            <rFont val="Tahoma"/>
            <family val="2"/>
          </rPr>
          <t xml:space="preserve">
2 mann (sjåfør + hjelpemann) bruker 4 timer å ta av å sette på kjettinger. </t>
        </r>
        <r>
          <rPr>
            <sz val="6"/>
            <color indexed="81"/>
            <rFont val="Tahoma"/>
            <family val="2"/>
          </rPr>
          <t xml:space="preserve">
</t>
        </r>
        <r>
          <rPr>
            <sz val="18"/>
            <color indexed="81"/>
            <rFont val="Tahoma"/>
            <family val="2"/>
          </rPr>
          <t>→</t>
        </r>
        <r>
          <rPr>
            <b/>
            <sz val="12"/>
            <color indexed="81"/>
            <rFont val="Tahoma"/>
            <family val="2"/>
          </rPr>
          <t xml:space="preserve"> 4 maskintimer (kun fast kostnader) + 8 lønnstimer</t>
        </r>
      </text>
    </comment>
    <comment ref="F36" authorId="0" shapeId="0" xr:uid="{DBD6A6B5-92C7-4B0B-8335-255646EF6244}">
      <text>
        <r>
          <rPr>
            <b/>
            <sz val="12"/>
            <color indexed="81"/>
            <rFont val="Tahoma"/>
            <family val="2"/>
          </rPr>
          <t xml:space="preserve">
NB!
</t>
        </r>
        <r>
          <rPr>
            <sz val="12"/>
            <color indexed="81"/>
            <rFont val="Tahoma"/>
            <family val="2"/>
          </rPr>
          <t xml:space="preserve">
Forhåndsutfylt pris er hentet fra arkfanen "Lønn"
Kan endres. </t>
        </r>
      </text>
    </comment>
    <comment ref="F42" authorId="0" shapeId="0" xr:uid="{688332A7-AB69-43A1-B193-2FC55E9131B3}">
      <text>
        <r>
          <rPr>
            <b/>
            <sz val="12"/>
            <color indexed="81"/>
            <rFont val="Tahoma"/>
            <family val="2"/>
          </rPr>
          <t xml:space="preserve">
Ferje er dyrt!
</t>
        </r>
        <r>
          <rPr>
            <sz val="12"/>
            <color indexed="81"/>
            <rFont val="Tahoma"/>
            <family val="2"/>
          </rPr>
          <t>Flyttebilen må normalt betale tur / retur for å få flyttet 1 maskin</t>
        </r>
      </text>
    </comment>
    <comment ref="F43" authorId="0" shapeId="0" xr:uid="{17C56433-EF9A-48D0-947C-A74F5EF61218}">
      <text>
        <r>
          <rPr>
            <b/>
            <sz val="12"/>
            <color indexed="81"/>
            <rFont val="Tahoma"/>
            <family val="2"/>
          </rPr>
          <t xml:space="preserve">
Ferje er dyrt!
</t>
        </r>
        <r>
          <rPr>
            <sz val="12"/>
            <color indexed="81"/>
            <rFont val="Tahoma"/>
            <family val="2"/>
          </rPr>
          <t>Flyttebilen må normalt betale tur / retur for å få flyttet 1 maskin</t>
        </r>
      </text>
    </comment>
    <comment ref="F44" authorId="0" shapeId="0" xr:uid="{C2CE603F-A0CF-4AD6-9E42-074D61F3AB9F}">
      <text>
        <r>
          <rPr>
            <b/>
            <sz val="12"/>
            <color indexed="81"/>
            <rFont val="Tahoma"/>
            <family val="2"/>
          </rPr>
          <t xml:space="preserve">
Ferje er dyrt!
</t>
        </r>
        <r>
          <rPr>
            <sz val="12"/>
            <color indexed="81"/>
            <rFont val="Tahoma"/>
            <family val="2"/>
          </rPr>
          <t>Flyttebilen må normalt betale tur / retur for å få flyttet 1 maskin</t>
        </r>
      </text>
    </comment>
  </commentList>
</comments>
</file>

<file path=xl/sharedStrings.xml><?xml version="1.0" encoding="utf-8"?>
<sst xmlns="http://schemas.openxmlformats.org/spreadsheetml/2006/main" count="338" uniqueCount="234">
  <si>
    <t>TIMEKOSTNAD LASSBÆRER</t>
  </si>
  <si>
    <t>Hurtigtilgang til underfaner:</t>
  </si>
  <si>
    <r>
      <rPr>
        <i/>
        <sz val="14"/>
        <color theme="1" tint="0.14999847407452621"/>
        <rFont val="Calibri"/>
        <family val="2"/>
        <scheme val="minor"/>
      </rPr>
      <t xml:space="preserve">Dette regnearket er bygd for at skogsentreprenører som ikke har beregnet timekostnaden på maskinene sin fra før, skal ha et verktøy for å kalkularer timekostnaden.        </t>
    </r>
    <r>
      <rPr>
        <i/>
        <sz val="11"/>
        <color theme="1" tint="0.14999847407452621"/>
        <rFont val="Calibri"/>
        <family val="2"/>
        <scheme val="minor"/>
      </rPr>
      <t xml:space="preserve">      </t>
    </r>
  </si>
  <si>
    <t>Bruksanvisning:</t>
  </si>
  <si>
    <r>
      <t xml:space="preserve">Gå innpå hver arkfane og fyll ut de verdiene som passer på din bedrift. Du vil se at ikke alle fanene passer akkurat til din bedrift. Sett likevel inn det som er så nært virkeligheten som mulig.                                                                                                                                                                                                                                                                                                                                                                 </t>
    </r>
    <r>
      <rPr>
        <b/>
        <i/>
        <sz val="11"/>
        <color theme="1" tint="0.14999847407452621"/>
        <rFont val="Calibri"/>
        <family val="2"/>
        <scheme val="minor"/>
      </rPr>
      <t xml:space="preserve">Gjør </t>
    </r>
    <r>
      <rPr>
        <b/>
        <i/>
        <u/>
        <sz val="11"/>
        <color theme="1" tint="0.14999847407452621"/>
        <rFont val="Calibri"/>
        <family val="2"/>
        <scheme val="minor"/>
      </rPr>
      <t>en</t>
    </r>
    <r>
      <rPr>
        <b/>
        <i/>
        <sz val="11"/>
        <color theme="1" tint="0.14999847407452621"/>
        <rFont val="Calibri"/>
        <family val="2"/>
        <scheme val="minor"/>
      </rPr>
      <t xml:space="preserve"> beregning pr maskin. Lagre deretter resultatet for senere å kunne gjøre en ny beregning, uten at alle data må legges inn på nytt.</t>
    </r>
  </si>
  <si>
    <t xml:space="preserve">Trenger du hjelp, ta kontakt med Skogkurs:                                                                                                                                                                                                                                                                                      Mikael Fønhus, tlf 992 87 002                                                                                                                                                                                                                                                                                                                                                                                     mf@skogkurs.no </t>
  </si>
  <si>
    <t>I arkfanene er det bare de grønne cellene som skal fylles ut:</t>
  </si>
  <si>
    <r>
      <rPr>
        <b/>
        <sz val="14"/>
        <color rgb="FFC00000"/>
        <rFont val="Calibri"/>
        <family val="2"/>
        <scheme val="minor"/>
      </rPr>
      <t>NB!</t>
    </r>
    <r>
      <rPr>
        <sz val="14"/>
        <color rgb="FFC00000"/>
        <rFont val="Calibri"/>
        <family val="2"/>
        <scheme val="minor"/>
      </rPr>
      <t xml:space="preserve"> Forhåndsutfylte verdier er ikke fasiten.</t>
    </r>
    <r>
      <rPr>
        <b/>
        <sz val="14"/>
        <color rgb="FFC00000"/>
        <rFont val="Calibri"/>
        <family val="2"/>
        <scheme val="minor"/>
      </rPr>
      <t xml:space="preserve">  -  Fyll ut mengder og priser som gjelder for din bedrift og dine maskiner</t>
    </r>
    <r>
      <rPr>
        <sz val="14"/>
        <color rgb="FFC00000"/>
        <rFont val="Calibri"/>
        <family val="2"/>
        <scheme val="minor"/>
      </rPr>
      <t>!</t>
    </r>
  </si>
  <si>
    <t>Kostnader</t>
  </si>
  <si>
    <t>i</t>
  </si>
  <si>
    <t>Fordeling</t>
  </si>
  <si>
    <t>Kapitalkostnad ved kjøp</t>
  </si>
  <si>
    <t>Leasing</t>
  </si>
  <si>
    <t>Forsikring</t>
  </si>
  <si>
    <t>Olje</t>
  </si>
  <si>
    <t>Service</t>
  </si>
  <si>
    <t>Reparasjoner</t>
  </si>
  <si>
    <t>Dekk</t>
  </si>
  <si>
    <t>Kjetting og belter</t>
  </si>
  <si>
    <t>Administrasjon</t>
  </si>
  <si>
    <t>Lønn</t>
  </si>
  <si>
    <t>Driftsplanlegging</t>
  </si>
  <si>
    <t>Diesel</t>
  </si>
  <si>
    <t>Arbeidsbil</t>
  </si>
  <si>
    <t>Flytting</t>
  </si>
  <si>
    <t>Sum kr/time</t>
  </si>
  <si>
    <t>Skogsmaskinindeksen ved utfylling</t>
  </si>
  <si>
    <t>Ny kostnadsindeks (dagens gjeldende)</t>
  </si>
  <si>
    <t>Økning:</t>
  </si>
  <si>
    <t>Ny timekostnad justert med siste kostnadsindeks</t>
  </si>
  <si>
    <r>
      <t xml:space="preserve">Vi ønsker å gjøre denne kalkulatoren bedre. Har du kommentarer; - send dem til </t>
    </r>
    <r>
      <rPr>
        <i/>
        <sz val="11"/>
        <color rgb="FF7B59F9"/>
        <rFont val="Calibri"/>
        <family val="2"/>
        <scheme val="minor"/>
      </rPr>
      <t>post@skogkurs.no.</t>
    </r>
  </si>
  <si>
    <t>Kjøp eller leasing?</t>
  </si>
  <si>
    <t xml:space="preserve">Forutsetninger </t>
  </si>
  <si>
    <t>Brukstid makintid pr år</t>
  </si>
  <si>
    <t>timer</t>
  </si>
  <si>
    <t>Total levetid i timer</t>
  </si>
  <si>
    <t>Leasing kalkulator – Thor-Heldal</t>
  </si>
  <si>
    <t>- Lenke til ekstern leasingkalkulator (m/skjermdump nedenfor)</t>
  </si>
  <si>
    <t>Kjøpesum</t>
  </si>
  <si>
    <t>Levetid</t>
  </si>
  <si>
    <t>år</t>
  </si>
  <si>
    <t>Restverdi</t>
  </si>
  <si>
    <t>rentekrav</t>
  </si>
  <si>
    <t>Amortiseringfaktoren - hva som årlig går med til renter og avskrivnigner.</t>
  </si>
  <si>
    <t>amortiseringfaktoren</t>
  </si>
  <si>
    <t>p</t>
  </si>
  <si>
    <t>1+p</t>
  </si>
  <si>
    <t>(1+p) opphøyd  i n</t>
  </si>
  <si>
    <t>(1+p) opphøyd  i n - 1</t>
  </si>
  <si>
    <t>amort-1</t>
  </si>
  <si>
    <t>amort-2</t>
  </si>
  <si>
    <t>amortfakt</t>
  </si>
  <si>
    <t>Kapitalkostnad ved lånefinansiering (kjøp)</t>
  </si>
  <si>
    <t xml:space="preserve">Årlig kapitalkostnad: </t>
  </si>
  <si>
    <t>Kapitalkostnad pr. time</t>
  </si>
  <si>
    <t>Leasingkostnader</t>
  </si>
  <si>
    <t>Kjøpspris eks. mva.</t>
  </si>
  <si>
    <t>Forskuddsleie /innbytte eks. mva.</t>
  </si>
  <si>
    <t>Avtalt restverdi</t>
  </si>
  <si>
    <t>Rentesats</t>
  </si>
  <si>
    <t>Leieperiode</t>
  </si>
  <si>
    <t>måneder</t>
  </si>
  <si>
    <t>Månedlig leasingbeløp</t>
  </si>
  <si>
    <t>← cellen kan overskrives</t>
  </si>
  <si>
    <t>Årlig kostnad</t>
  </si>
  <si>
    <t>Leasingkostnad pr. time</t>
  </si>
  <si>
    <t>Dekkostnader totalt i maskinens levetid</t>
  </si>
  <si>
    <t>Dekkenes varighet</t>
  </si>
  <si>
    <t>Dekk/time</t>
  </si>
  <si>
    <t>kr/time</t>
  </si>
  <si>
    <t xml:space="preserve">Kjetting og / eller belter </t>
  </si>
  <si>
    <t>Kjetting og belters varighet</t>
  </si>
  <si>
    <t>Sveise opp beltene</t>
  </si>
  <si>
    <t>pr år</t>
  </si>
  <si>
    <t>Kjetting/belter pr time</t>
  </si>
  <si>
    <t>Sjåførlønn/time (direkte lønn)</t>
  </si>
  <si>
    <t>+ feriepenger</t>
  </si>
  <si>
    <t>+ arbeidsgiveravgift</t>
  </si>
  <si>
    <t>+ sykefravær</t>
  </si>
  <si>
    <t xml:space="preserve">+ pensjon </t>
  </si>
  <si>
    <t>+ kurs og opplæring</t>
  </si>
  <si>
    <t xml:space="preserve">Produktiv tid sjåfør </t>
  </si>
  <si>
    <t>VIKTIG FAKTOR!</t>
  </si>
  <si>
    <t>Sjåførlønn pr maskintime (G-n tid)</t>
  </si>
  <si>
    <t>Kontorkostnader pr år (hele bedriften)</t>
  </si>
  <si>
    <t>Husleie</t>
  </si>
  <si>
    <t>Strøm</t>
  </si>
  <si>
    <t>Kontormedarbeider(-e) inkl. sosiale kostnader</t>
  </si>
  <si>
    <t>Regnskap, revisjon og andre bedriftskostnader-kostnader</t>
  </si>
  <si>
    <t>Andre bedriftskostnader</t>
  </si>
  <si>
    <t>Antall maskiner kostnadene skal deles på</t>
  </si>
  <si>
    <t>Andel av kostnaden på denne maskinen</t>
  </si>
  <si>
    <t>Andel av kostnaden per time</t>
  </si>
  <si>
    <t>Utendørs  og innedørs driftsplanlegg</t>
  </si>
  <si>
    <r>
      <t xml:space="preserve">Årlige kostnader med planlegging  </t>
    </r>
    <r>
      <rPr>
        <b/>
        <sz val="11"/>
        <color theme="1"/>
        <rFont val="Calibri"/>
        <family val="2"/>
        <scheme val="minor"/>
      </rPr>
      <t>for denne maskinen</t>
    </r>
    <r>
      <rPr>
        <sz val="11"/>
        <color theme="1"/>
        <rFont val="Calibri"/>
        <family val="2"/>
        <scheme val="minor"/>
      </rPr>
      <t xml:space="preserve">                             </t>
    </r>
  </si>
  <si>
    <t>Antall drifter</t>
  </si>
  <si>
    <t>drifter</t>
  </si>
  <si>
    <t>Snittstørrelse pr drift</t>
  </si>
  <si>
    <t>m³</t>
  </si>
  <si>
    <t>= Antall m³ pr år</t>
  </si>
  <si>
    <t>Planleggingskostnad pr m³ pr drift</t>
  </si>
  <si>
    <t xml:space="preserve">kr/m³ </t>
  </si>
  <si>
    <t>Planleggingskostnad pr time</t>
  </si>
  <si>
    <t>Oljer</t>
  </si>
  <si>
    <t>Totalt liter pr år</t>
  </si>
  <si>
    <t>kr/liter</t>
  </si>
  <si>
    <t>girolje</t>
  </si>
  <si>
    <t>hydaulikkolje</t>
  </si>
  <si>
    <t>motorolje</t>
  </si>
  <si>
    <t>Sum olje</t>
  </si>
  <si>
    <t xml:space="preserve">Drivstoff </t>
  </si>
  <si>
    <t>Liter pr time</t>
  </si>
  <si>
    <t>Kr/liter</t>
  </si>
  <si>
    <t>Ad-blue</t>
  </si>
  <si>
    <r>
      <t>Dieseltank</t>
    </r>
    <r>
      <rPr>
        <b/>
        <i/>
        <sz val="15"/>
        <color theme="3"/>
        <rFont val="Calibri"/>
        <family val="2"/>
        <scheme val="minor"/>
      </rPr>
      <t xml:space="preserve"> (eller tank og tilhenger)</t>
    </r>
  </si>
  <si>
    <t>Pris</t>
  </si>
  <si>
    <t>Levetid (år)</t>
  </si>
  <si>
    <t>Levetid antall år</t>
  </si>
  <si>
    <t>Kroner pr time</t>
  </si>
  <si>
    <t>Sum diesel</t>
  </si>
  <si>
    <t>Personlig utstyr</t>
  </si>
  <si>
    <t>Kostnad pr år</t>
  </si>
  <si>
    <r>
      <rPr>
        <b/>
        <sz val="11"/>
        <rFont val="Calibri"/>
        <family val="2"/>
        <scheme val="minor"/>
      </rPr>
      <t xml:space="preserve">Sko </t>
    </r>
    <r>
      <rPr>
        <sz val="11"/>
        <rFont val="Calibri"/>
        <family val="2"/>
        <scheme val="minor"/>
      </rPr>
      <t xml:space="preserve"> til en eller flere førere </t>
    </r>
    <r>
      <rPr>
        <i/>
        <sz val="10"/>
        <rFont val="Calibri"/>
        <family val="2"/>
        <scheme val="minor"/>
      </rPr>
      <t>på denne maskina</t>
    </r>
  </si>
  <si>
    <r>
      <rPr>
        <b/>
        <sz val="11"/>
        <color theme="1"/>
        <rFont val="Calibri"/>
        <family val="2"/>
        <scheme val="minor"/>
      </rPr>
      <t xml:space="preserve">Arbeidstøy og verneutstyr </t>
    </r>
    <r>
      <rPr>
        <sz val="11"/>
        <color theme="1"/>
        <rFont val="Calibri"/>
        <family val="2"/>
        <scheme val="minor"/>
      </rPr>
      <t>til en eller flere førere</t>
    </r>
    <r>
      <rPr>
        <sz val="10"/>
        <color theme="1"/>
        <rFont val="Calibri"/>
        <family val="2"/>
        <scheme val="minor"/>
      </rPr>
      <t xml:space="preserve"> </t>
    </r>
    <r>
      <rPr>
        <i/>
        <sz val="10"/>
        <color theme="1"/>
        <rFont val="Calibri"/>
        <family val="2"/>
        <scheme val="minor"/>
      </rPr>
      <t>på denne maskina</t>
    </r>
  </si>
  <si>
    <r>
      <rPr>
        <b/>
        <sz val="11"/>
        <color theme="1"/>
        <rFont val="Calibri"/>
        <family val="2"/>
        <scheme val="minor"/>
      </rPr>
      <t>Verneutsty</t>
    </r>
    <r>
      <rPr>
        <sz val="11"/>
        <color theme="1"/>
        <rFont val="Calibri"/>
        <family val="2"/>
        <scheme val="minor"/>
      </rPr>
      <t>r til en eller førere</t>
    </r>
    <r>
      <rPr>
        <i/>
        <sz val="9"/>
        <color theme="1"/>
        <rFont val="Calibri"/>
        <family val="2"/>
        <scheme val="minor"/>
      </rPr>
      <t xml:space="preserve"> </t>
    </r>
    <r>
      <rPr>
        <i/>
        <sz val="10"/>
        <color theme="1"/>
        <rFont val="Calibri"/>
        <family val="2"/>
        <scheme val="minor"/>
      </rPr>
      <t>på denne maskina</t>
    </r>
  </si>
  <si>
    <t xml:space="preserve">Telefon og telefonabonnement </t>
  </si>
  <si>
    <r>
      <t xml:space="preserve">Annet </t>
    </r>
    <r>
      <rPr>
        <i/>
        <sz val="11"/>
        <color theme="1"/>
        <rFont val="Calibri"/>
        <family val="2"/>
        <scheme val="minor"/>
      </rPr>
      <t>(fyll ut)</t>
    </r>
    <r>
      <rPr>
        <sz val="11"/>
        <color theme="1"/>
        <rFont val="Calibri"/>
        <family val="2"/>
        <scheme val="minor"/>
      </rPr>
      <t>:</t>
    </r>
  </si>
  <si>
    <t>Arbeidstøy og personlig utstyr</t>
  </si>
  <si>
    <t>Hvilken ordning har firmaet:</t>
  </si>
  <si>
    <t>Firmabil</t>
  </si>
  <si>
    <t xml:space="preserve">        =HVIS($E$5="Firmabil";"i";"")                                                           </t>
  </si>
  <si>
    <t>bil(-er)</t>
  </si>
  <si>
    <t>Sum kostnader arbeidsbil</t>
  </si>
  <si>
    <t>Kostnad pr maskintime</t>
  </si>
  <si>
    <t>To nettsider fra Danske Bank om leasing:</t>
  </si>
  <si>
    <t>https://danskebank.no/bedrift/produkter-og-tjenester/finansiering/leasing?gclid=25c83108625d147a8f8e54327a21cc14&amp;gclsrc=3p.ds&amp;utm_source=bing&amp;utm_medium=cpc&amp;utm_campaign=Business.Leasing.Prospecting.Phrase&amp;utm_term=firmabil%20leasing&amp;utm_content=Firmabil%20%7C%C2%A0Phrase#accordion-0-item-3</t>
  </si>
  <si>
    <t>Bør bedrifter lease eller kjøpe firmabil og utstyr?</t>
  </si>
  <si>
    <t>https://danskebank.no/nyheter/tips-og-raad-til-din-bedrift/kjoepe-eller-lease                                                                                                                                                                                                                                         "Bør bedrifter lease eller kjøpe firmabil og utstyr?"</t>
  </si>
  <si>
    <t>Forutsetninger</t>
  </si>
  <si>
    <t>Antall flyttinger per år</t>
  </si>
  <si>
    <t>Herav flytt med flyttebil</t>
  </si>
  <si>
    <t>Antall flytt hvor kjetting eller belter må av og på</t>
  </si>
  <si>
    <t>(1:5)</t>
  </si>
  <si>
    <t>Flytting med flyttebil</t>
  </si>
  <si>
    <t>Kostnad pr flytt</t>
  </si>
  <si>
    <t>Kr/time</t>
  </si>
  <si>
    <t>Flyttebil - timer for flytting av 1 maskin</t>
  </si>
  <si>
    <t>time</t>
  </si>
  <si>
    <t>Timepris flyttebil</t>
  </si>
  <si>
    <t>per time</t>
  </si>
  <si>
    <t>Tapt prod.tid ved flytting (se forklaring)</t>
  </si>
  <si>
    <t>Ca. pris førerlønn og faste maskinkostnader</t>
  </si>
  <si>
    <t>Følgebil ved flytting (km flytting )</t>
  </si>
  <si>
    <t>Sats</t>
  </si>
  <si>
    <t>per km</t>
  </si>
  <si>
    <t>Antall lønnstimer følgebil</t>
  </si>
  <si>
    <t>Timepris sjåfør på følgebil</t>
  </si>
  <si>
    <t>(2:5)</t>
  </si>
  <si>
    <t>Flytting på hjul</t>
  </si>
  <si>
    <t>Flyttetid i snitt</t>
  </si>
  <si>
    <t>timer tapt produksjon</t>
  </si>
  <si>
    <t>Ca. timepris maskin m/fører</t>
  </si>
  <si>
    <t>Flytting av maskinførerens arbeidsbil</t>
  </si>
  <si>
    <t>kr/km</t>
  </si>
  <si>
    <t>Antall lønnstimer hjelpemann</t>
  </si>
  <si>
    <t>Timepris hjelpemann</t>
  </si>
  <si>
    <t>(3:5)</t>
  </si>
  <si>
    <t>Flytting av dieselhenger brakker etc.</t>
  </si>
  <si>
    <t>Flytting av dieselhengere og event. brakke</t>
  </si>
  <si>
    <t xml:space="preserve">Antall lønnstimer </t>
  </si>
  <si>
    <t>(4:5)</t>
  </si>
  <si>
    <t xml:space="preserve">Timeforbruk pr gang kjetting / belter av og på </t>
  </si>
  <si>
    <t>(5:5)</t>
  </si>
  <si>
    <t>Andre kostnader</t>
  </si>
  <si>
    <t>Bompenger</t>
  </si>
  <si>
    <t>Antall ganger pr år  der det påløper bompenger ved flytting</t>
  </si>
  <si>
    <t>Snittpris for å flytte alle enheter (flyttebil, maskin, biler og hengere (husk tur/retur)</t>
  </si>
  <si>
    <t>Ferje</t>
  </si>
  <si>
    <t>Antall flyttinger med ferje - snitt pr år</t>
  </si>
  <si>
    <r>
      <t xml:space="preserve">= Flyttekostnader per år og </t>
    </r>
    <r>
      <rPr>
        <b/>
        <sz val="14"/>
        <color theme="1"/>
        <rFont val="Calibri"/>
        <family val="2"/>
        <scheme val="minor"/>
      </rPr>
      <t>per time</t>
    </r>
  </si>
  <si>
    <t>Forsikringpremie pr år</t>
  </si>
  <si>
    <t>Forsikring /time</t>
  </si>
  <si>
    <t xml:space="preserve">Service </t>
  </si>
  <si>
    <t>Årlig servicekostnad</t>
  </si>
  <si>
    <t>Serviceavtale, eller utføres med egne ansatte  i eget eller leid verksted</t>
  </si>
  <si>
    <t>Sevice/time</t>
  </si>
  <si>
    <t>k/time</t>
  </si>
  <si>
    <t>Reparasjoner pr år. Deler og arbeid inngår</t>
  </si>
  <si>
    <t>Utføres med egne ansatte eller innleid mekaniker i eget eller leid verksted</t>
  </si>
  <si>
    <t>Reparasjoner/time</t>
  </si>
  <si>
    <t>Lassbærer</t>
  </si>
  <si>
    <t>Levetid tim-1</t>
  </si>
  <si>
    <t>Levetid tim 2</t>
  </si>
  <si>
    <t>restverdi</t>
  </si>
  <si>
    <t>levetid-1</t>
  </si>
  <si>
    <t>Levetid-2</t>
  </si>
  <si>
    <t>amortisering</t>
  </si>
  <si>
    <t>Produktiv tid sjåfør</t>
  </si>
  <si>
    <t>Produktivitet</t>
  </si>
  <si>
    <t>fm3/time</t>
  </si>
  <si>
    <t>UTKJØRING</t>
  </si>
  <si>
    <t>Timer/år</t>
  </si>
  <si>
    <t>Kapitalkostnad</t>
  </si>
  <si>
    <t>kapkost-1</t>
  </si>
  <si>
    <t>kapkost-2</t>
  </si>
  <si>
    <t>Reparasjon</t>
  </si>
  <si>
    <t>Kjetting</t>
  </si>
  <si>
    <t>Kontor</t>
  </si>
  <si>
    <t>Flytte</t>
  </si>
  <si>
    <t xml:space="preserve">Sum kr/m³ </t>
  </si>
  <si>
    <t>kr/time-1</t>
  </si>
  <si>
    <t>kr/time-2</t>
  </si>
  <si>
    <t>Kostnadsindeks 2. kv. 2022:</t>
  </si>
  <si>
    <t>hydrolje</t>
  </si>
  <si>
    <t>Sum kr/time (2022-tall)</t>
  </si>
  <si>
    <t>Sum kr/m³ (2022-tall)</t>
  </si>
  <si>
    <t>2000t/år</t>
  </si>
  <si>
    <t>3000t/år</t>
  </si>
  <si>
    <t>Service/år</t>
  </si>
  <si>
    <t>Dekk og hjulutstyr</t>
  </si>
  <si>
    <t>Dekk/år</t>
  </si>
  <si>
    <t>Kjetting/år</t>
  </si>
  <si>
    <t>Kjetting/time</t>
  </si>
  <si>
    <t>Administrasjon og lønn</t>
  </si>
  <si>
    <t>Admin/år</t>
  </si>
  <si>
    <t>Admin/time</t>
  </si>
  <si>
    <t>Sjåførlønn/time</t>
  </si>
  <si>
    <t>Kontor/time</t>
  </si>
  <si>
    <t>Drivstoff og flytting</t>
  </si>
  <si>
    <t>Diesel/år</t>
  </si>
  <si>
    <t>Flyttekostnader</t>
  </si>
  <si>
    <t>Per time</t>
  </si>
  <si>
    <t>Versjon 1.1</t>
  </si>
  <si>
    <t xml:space="preserve">Dato: 10.09.2024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</si>
</sst>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kr&quot;\ * #,##0.00_-;\-&quot;kr&quot;\ * #,##0.00_-;_-&quot;kr&quot;\ * &quot;-&quot;??_-;_-@_-"/>
    <numFmt numFmtId="164" formatCode="&quot;kr&quot;\ #,##0.00;[Red]&quot;kr&quot;\ \-#,##0.00"/>
    <numFmt numFmtId="165" formatCode="_ &quot;kr&quot;\ * #,##0.00_ ;_ &quot;kr&quot;\ * \-#,##0.00_ ;_ &quot;kr&quot;\ * &quot;-&quot;??_ ;_ @_ "/>
    <numFmt numFmtId="166" formatCode="_ * #,##0.00_ ;_ * \-#,##0.00_ ;_ * &quot;-&quot;??_ ;_ @_ "/>
    <numFmt numFmtId="167" formatCode="&quot;kr&quot;\ #,##0.00"/>
    <numFmt numFmtId="168" formatCode="0.0"/>
    <numFmt numFmtId="169" formatCode="0.0\ %"/>
    <numFmt numFmtId="170" formatCode="_ * #,##0_ ;_ * \-#,##0_ ;_ * &quot;-&quot;??_ ;_ @_ "/>
    <numFmt numFmtId="171" formatCode="_-&quot;kr&quot;\ * #,##0_-;\-&quot;kr&quot;\ * #,##0_-;_-&quot;kr&quot;\ * &quot;-&quot;??_-;_-@_-"/>
    <numFmt numFmtId="172" formatCode="_ &quot;kr&quot;\ * #,##0_ ;_ &quot;kr&quot;\ * \-#,##0_ ;_ &quot;kr&quot;\ * &quot;-&quot;??_ ;_ @_ "/>
  </numFmts>
  <fonts count="71">
    <font>
      <sz val="11"/>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color theme="1"/>
      <name val="Calibri"/>
      <family val="2"/>
    </font>
    <font>
      <sz val="11"/>
      <color theme="1"/>
      <name val="Calibri"/>
      <family val="2"/>
    </font>
    <font>
      <b/>
      <sz val="15"/>
      <color theme="3"/>
      <name val="Calibri"/>
      <family val="2"/>
      <scheme val="minor"/>
    </font>
    <font>
      <sz val="11"/>
      <color theme="1"/>
      <name val="Calibri"/>
      <family val="2"/>
      <scheme val="minor"/>
    </font>
    <font>
      <sz val="16"/>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theme="1"/>
      <name val="Calibri"/>
      <family val="2"/>
      <scheme val="minor"/>
    </font>
    <font>
      <sz val="11"/>
      <color indexed="81"/>
      <name val="Tahoma"/>
      <family val="2"/>
    </font>
    <font>
      <b/>
      <sz val="11"/>
      <color indexed="81"/>
      <name val="Tahoma"/>
      <family val="2"/>
    </font>
    <font>
      <sz val="11"/>
      <color rgb="FFFF0000"/>
      <name val="Webdings"/>
      <family val="1"/>
      <charset val="2"/>
    </font>
    <font>
      <sz val="9"/>
      <color rgb="FFFF0000"/>
      <name val="Calibri"/>
      <family val="2"/>
      <scheme val="minor"/>
    </font>
    <font>
      <b/>
      <sz val="12"/>
      <color indexed="81"/>
      <name val="Tahoma"/>
      <family val="2"/>
    </font>
    <font>
      <sz val="6"/>
      <color indexed="81"/>
      <name val="Tahoma"/>
      <family val="2"/>
    </font>
    <font>
      <sz val="12"/>
      <color indexed="81"/>
      <name val="Tahoma"/>
      <family val="2"/>
    </font>
    <font>
      <u/>
      <sz val="6"/>
      <color indexed="81"/>
      <name val="Tahoma"/>
      <family val="2"/>
    </font>
    <font>
      <b/>
      <sz val="6"/>
      <color indexed="81"/>
      <name val="Tahoma"/>
      <family val="2"/>
    </font>
    <font>
      <b/>
      <u/>
      <sz val="12"/>
      <color indexed="81"/>
      <name val="Tahoma"/>
      <family val="2"/>
    </font>
    <font>
      <i/>
      <sz val="12"/>
      <color indexed="81"/>
      <name val="Tahoma"/>
      <family val="2"/>
    </font>
    <font>
      <b/>
      <sz val="18"/>
      <color indexed="81"/>
      <name val="Tahoma"/>
      <family val="2"/>
    </font>
    <font>
      <sz val="16"/>
      <color indexed="81"/>
      <name val="Tahoma"/>
      <family val="2"/>
    </font>
    <font>
      <sz val="18"/>
      <color indexed="81"/>
      <name val="Tahoma"/>
      <family val="2"/>
    </font>
    <font>
      <b/>
      <sz val="12"/>
      <color theme="3"/>
      <name val="Calibri"/>
      <family val="2"/>
      <scheme val="minor"/>
    </font>
    <font>
      <b/>
      <sz val="14"/>
      <color theme="1"/>
      <name val="Calibri"/>
      <family val="2"/>
      <scheme val="minor"/>
    </font>
    <font>
      <sz val="16"/>
      <color rgb="FF3F3F76"/>
      <name val="Calibri"/>
      <family val="2"/>
      <scheme val="minor"/>
    </font>
    <font>
      <b/>
      <sz val="20"/>
      <color rgb="FF002060"/>
      <name val="Calibri"/>
      <family val="2"/>
      <scheme val="minor"/>
    </font>
    <font>
      <b/>
      <sz val="11"/>
      <color theme="1" tint="0.249977111117893"/>
      <name val="Calibri"/>
      <family val="2"/>
      <scheme val="minor"/>
    </font>
    <font>
      <u/>
      <sz val="11"/>
      <color theme="10"/>
      <name val="Calibri"/>
      <family val="2"/>
      <scheme val="minor"/>
    </font>
    <font>
      <i/>
      <sz val="11"/>
      <color rgb="FF002337"/>
      <name val="Georgia"/>
      <family val="1"/>
    </font>
    <font>
      <i/>
      <sz val="11"/>
      <color rgb="FF7F7F7F"/>
      <name val="Calibri"/>
      <family val="2"/>
      <scheme val="minor"/>
    </font>
    <font>
      <i/>
      <sz val="11"/>
      <color theme="1" tint="0.14999847407452621"/>
      <name val="Calibri"/>
      <family val="2"/>
      <scheme val="minor"/>
    </font>
    <font>
      <b/>
      <i/>
      <sz val="11"/>
      <color theme="1" tint="0.14999847407452621"/>
      <name val="Calibri"/>
      <family val="2"/>
      <scheme val="minor"/>
    </font>
    <font>
      <i/>
      <sz val="14"/>
      <color theme="1" tint="0.14999847407452621"/>
      <name val="Calibri"/>
      <family val="2"/>
      <scheme val="minor"/>
    </font>
    <font>
      <b/>
      <i/>
      <sz val="14"/>
      <color theme="1" tint="0.14999847407452621"/>
      <name val="Calibri"/>
      <family val="2"/>
      <scheme val="minor"/>
    </font>
    <font>
      <b/>
      <i/>
      <u/>
      <sz val="11"/>
      <color theme="1" tint="0.14999847407452621"/>
      <name val="Calibri"/>
      <family val="2"/>
      <scheme val="minor"/>
    </font>
    <font>
      <u/>
      <sz val="22"/>
      <color theme="10"/>
      <name val="Calibri"/>
      <family val="2"/>
      <scheme val="minor"/>
    </font>
    <font>
      <b/>
      <sz val="11"/>
      <color rgb="FFFF0000"/>
      <name val="Calibri"/>
      <family val="2"/>
    </font>
    <font>
      <sz val="14"/>
      <color theme="1"/>
      <name val="Calibri"/>
      <family val="2"/>
      <scheme val="minor"/>
    </font>
    <font>
      <sz val="11"/>
      <color rgb="FFC00000"/>
      <name val="Calibri"/>
      <family val="2"/>
      <scheme val="minor"/>
    </font>
    <font>
      <b/>
      <sz val="11"/>
      <color rgb="FFC00000"/>
      <name val="Calibri"/>
      <family val="2"/>
      <scheme val="minor"/>
    </font>
    <font>
      <i/>
      <sz val="10"/>
      <name val="Calibri"/>
      <family val="2"/>
      <scheme val="minor"/>
    </font>
    <font>
      <i/>
      <sz val="9"/>
      <color theme="1"/>
      <name val="Calibri"/>
      <family val="2"/>
      <scheme val="minor"/>
    </font>
    <font>
      <sz val="12"/>
      <color theme="1"/>
      <name val="Calibri"/>
      <family val="2"/>
      <scheme val="minor"/>
    </font>
    <font>
      <b/>
      <sz val="12"/>
      <color rgb="FF3F3F76"/>
      <name val="Calibri"/>
      <family val="2"/>
      <scheme val="minor"/>
    </font>
    <font>
      <sz val="14"/>
      <color rgb="FFC00000"/>
      <name val="Calibri"/>
      <family val="2"/>
      <scheme val="minor"/>
    </font>
    <font>
      <b/>
      <sz val="14"/>
      <color rgb="FFC00000"/>
      <name val="Calibri"/>
      <family val="2"/>
      <scheme val="minor"/>
    </font>
    <font>
      <b/>
      <sz val="14"/>
      <color rgb="FF3F3F76"/>
      <name val="Calibri"/>
      <family val="2"/>
      <scheme val="minor"/>
    </font>
    <font>
      <b/>
      <sz val="24"/>
      <color theme="3"/>
      <name val="Calibri"/>
      <family val="2"/>
      <scheme val="minor"/>
    </font>
    <font>
      <b/>
      <sz val="14"/>
      <color theme="0"/>
      <name val="Calibri"/>
      <family val="2"/>
      <scheme val="minor"/>
    </font>
    <font>
      <sz val="14"/>
      <color rgb="FFFF0000"/>
      <name val="Webdings"/>
      <family val="1"/>
      <charset val="2"/>
    </font>
    <font>
      <b/>
      <sz val="12"/>
      <color theme="0"/>
      <name val="Calibri"/>
      <family val="2"/>
      <scheme val="minor"/>
    </font>
    <font>
      <sz val="10"/>
      <color theme="1"/>
      <name val="Calibri"/>
      <family val="2"/>
      <scheme val="minor"/>
    </font>
    <font>
      <i/>
      <sz val="10"/>
      <color theme="1"/>
      <name val="Calibri"/>
      <family val="2"/>
      <scheme val="minor"/>
    </font>
    <font>
      <b/>
      <i/>
      <sz val="15"/>
      <color theme="3"/>
      <name val="Calibri"/>
      <family val="2"/>
      <scheme val="minor"/>
    </font>
    <font>
      <sz val="11"/>
      <color theme="1"/>
      <name val="Franklin Gothic Medium"/>
      <family val="2"/>
    </font>
    <font>
      <sz val="11"/>
      <color theme="0"/>
      <name val="Inherit"/>
    </font>
    <font>
      <i/>
      <sz val="11"/>
      <color rgb="FF7B59F9"/>
      <name val="Calibri"/>
      <family val="2"/>
      <scheme val="minor"/>
    </font>
    <font>
      <sz val="26"/>
      <color theme="0"/>
      <name val="Franklin Gothic Medium"/>
      <family val="2"/>
    </font>
    <font>
      <sz val="36"/>
      <color theme="0"/>
      <name val="Calibri"/>
      <family val="2"/>
      <scheme val="minor"/>
    </font>
    <font>
      <b/>
      <sz val="12"/>
      <color theme="0"/>
      <name val="Franklin Gothic Medium"/>
      <family val="2"/>
    </font>
    <font>
      <b/>
      <sz val="28"/>
      <color theme="3"/>
      <name val="Franklin Gothic Medium"/>
      <family val="2"/>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8"/>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patternFill>
    </fill>
    <fill>
      <patternFill patternType="solid">
        <fgColor rgb="FFDDD305"/>
        <bgColor indexed="64"/>
      </patternFill>
    </fill>
    <fill>
      <patternFill patternType="solid">
        <fgColor theme="1"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B2B2B2"/>
      </left>
      <right style="thin">
        <color rgb="FFB2B2B2"/>
      </right>
      <top style="thin">
        <color rgb="FFB2B2B2"/>
      </top>
      <bottom style="thin">
        <color rgb="FFB2B2B2"/>
      </bottom>
      <diagonal/>
    </border>
    <border>
      <left/>
      <right/>
      <top style="thick">
        <color theme="4"/>
      </top>
      <bottom/>
      <diagonal/>
    </border>
    <border>
      <left/>
      <right style="thin">
        <color rgb="FF7F7F7F"/>
      </right>
      <top style="thick">
        <color theme="4"/>
      </top>
      <bottom/>
      <diagonal/>
    </border>
    <border>
      <left/>
      <right style="thin">
        <color rgb="FF7F7F7F"/>
      </right>
      <top/>
      <bottom/>
      <diagonal/>
    </border>
    <border>
      <left/>
      <right style="double">
        <color rgb="FF3F3F3F"/>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s>
  <cellStyleXfs count="13">
    <xf numFmtId="0" fontId="0" fillId="0" borderId="0"/>
    <xf numFmtId="0" fontId="10" fillId="0" borderId="4" applyNumberFormat="0" applyFill="0" applyAlignment="0" applyProtection="0"/>
    <xf numFmtId="166" fontId="11" fillId="0" borderId="0" applyFont="0" applyFill="0" applyBorder="0" applyAlignment="0" applyProtection="0"/>
    <xf numFmtId="0" fontId="13" fillId="0" borderId="5" applyNumberFormat="0" applyFill="0" applyAlignment="0" applyProtection="0"/>
    <xf numFmtId="0" fontId="14" fillId="0" borderId="0" applyNumberFormat="0" applyFill="0" applyBorder="0" applyAlignment="0" applyProtection="0"/>
    <xf numFmtId="0" fontId="15" fillId="11" borderId="6" applyNumberFormat="0" applyAlignment="0" applyProtection="0"/>
    <xf numFmtId="0" fontId="16" fillId="12" borderId="7" applyNumberFormat="0" applyAlignment="0" applyProtection="0"/>
    <xf numFmtId="0" fontId="6" fillId="13" borderId="8" applyNumberFormat="0" applyAlignment="0" applyProtection="0"/>
    <xf numFmtId="0" fontId="4" fillId="0" borderId="9" applyNumberFormat="0" applyFill="0" applyAlignment="0" applyProtection="0"/>
    <xf numFmtId="0" fontId="37" fillId="0" borderId="0" applyNumberFormat="0" applyFill="0" applyBorder="0" applyAlignment="0" applyProtection="0"/>
    <xf numFmtId="9" fontId="11" fillId="0" borderId="0" applyFont="0" applyFill="0" applyBorder="0" applyAlignment="0" applyProtection="0"/>
    <xf numFmtId="0" fontId="39" fillId="0" borderId="0" applyNumberFormat="0" applyFill="0" applyBorder="0" applyAlignment="0" applyProtection="0"/>
    <xf numFmtId="0" fontId="11" fillId="18" borderId="30" applyNumberFormat="0" applyFont="0" applyAlignment="0" applyProtection="0"/>
  </cellStyleXfs>
  <cellXfs count="229">
    <xf numFmtId="0" fontId="0" fillId="0" borderId="0" xfId="0"/>
    <xf numFmtId="0" fontId="1" fillId="2" borderId="0" xfId="0" applyFont="1" applyFill="1"/>
    <xf numFmtId="2" fontId="0" fillId="0" borderId="0" xfId="0" applyNumberFormat="1"/>
    <xf numFmtId="1" fontId="0" fillId="0" borderId="0" xfId="0" applyNumberFormat="1" applyAlignment="1">
      <alignment horizontal="center"/>
    </xf>
    <xf numFmtId="164" fontId="0" fillId="0" borderId="0" xfId="0" applyNumberFormat="1" applyAlignment="1">
      <alignment horizontal="center"/>
    </xf>
    <xf numFmtId="167" fontId="0" fillId="0" borderId="0" xfId="0" applyNumberFormat="1"/>
    <xf numFmtId="0" fontId="2" fillId="3" borderId="1" xfId="0" applyFont="1" applyFill="1" applyBorder="1"/>
    <xf numFmtId="0" fontId="0" fillId="0" borderId="0" xfId="0" applyAlignment="1">
      <alignment horizontal="center"/>
    </xf>
    <xf numFmtId="2" fontId="0" fillId="0" borderId="0" xfId="0" applyNumberFormat="1" applyAlignment="1">
      <alignment horizontal="center"/>
    </xf>
    <xf numFmtId="0" fontId="4" fillId="0" borderId="0" xfId="0" applyFont="1"/>
    <xf numFmtId="0" fontId="3" fillId="2" borderId="0" xfId="0" applyFont="1" applyFill="1" applyAlignment="1">
      <alignment horizontal="center"/>
    </xf>
    <xf numFmtId="167" fontId="1" fillId="2" borderId="0" xfId="0" applyNumberFormat="1" applyFont="1" applyFill="1"/>
    <xf numFmtId="0" fontId="1" fillId="2" borderId="0" xfId="0" applyFont="1" applyFill="1" applyAlignment="1">
      <alignment horizontal="center"/>
    </xf>
    <xf numFmtId="168" fontId="0" fillId="0" borderId="0" xfId="0" applyNumberFormat="1" applyAlignment="1">
      <alignment horizontal="center"/>
    </xf>
    <xf numFmtId="1" fontId="0" fillId="0" borderId="0" xfId="0" applyNumberFormat="1"/>
    <xf numFmtId="0" fontId="0" fillId="0" borderId="3" xfId="0" applyBorder="1"/>
    <xf numFmtId="0" fontId="5" fillId="0" borderId="3" xfId="0" applyFont="1" applyBorder="1"/>
    <xf numFmtId="164" fontId="5" fillId="0" borderId="3" xfId="0" applyNumberFormat="1" applyFont="1" applyBorder="1"/>
    <xf numFmtId="10" fontId="5" fillId="0" borderId="3" xfId="0" applyNumberFormat="1" applyFont="1" applyBorder="1"/>
    <xf numFmtId="167" fontId="5" fillId="0" borderId="3" xfId="0" applyNumberFormat="1" applyFont="1" applyBorder="1"/>
    <xf numFmtId="10" fontId="5" fillId="0" borderId="2" xfId="0" applyNumberFormat="1" applyFont="1" applyBorder="1"/>
    <xf numFmtId="9" fontId="1" fillId="2" borderId="0" xfId="0" applyNumberFormat="1" applyFont="1" applyFill="1"/>
    <xf numFmtId="169" fontId="0" fillId="0" borderId="2" xfId="0" applyNumberFormat="1" applyBorder="1" applyAlignment="1">
      <alignment horizontal="right"/>
    </xf>
    <xf numFmtId="0" fontId="5" fillId="0" borderId="0" xfId="0" applyFont="1"/>
    <xf numFmtId="0" fontId="7" fillId="4" borderId="0" xfId="0" applyFont="1" applyFill="1"/>
    <xf numFmtId="0" fontId="2" fillId="3" borderId="0" xfId="0" applyFont="1" applyFill="1"/>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xf numFmtId="0" fontId="7" fillId="5" borderId="0" xfId="0" applyFont="1" applyFill="1"/>
    <xf numFmtId="164" fontId="7" fillId="5" borderId="0" xfId="0" applyNumberFormat="1" applyFont="1" applyFill="1" applyAlignment="1">
      <alignment horizontal="center"/>
    </xf>
    <xf numFmtId="167" fontId="7" fillId="5" borderId="0" xfId="0" applyNumberFormat="1" applyFont="1" applyFill="1"/>
    <xf numFmtId="0" fontId="7" fillId="5" borderId="0" xfId="0" applyFont="1" applyFill="1" applyAlignment="1">
      <alignment horizontal="center"/>
    </xf>
    <xf numFmtId="1" fontId="7" fillId="5" borderId="0" xfId="0" applyNumberFormat="1" applyFont="1" applyFill="1" applyAlignment="1">
      <alignment horizontal="center"/>
    </xf>
    <xf numFmtId="0" fontId="0" fillId="7" borderId="0" xfId="0" applyFill="1"/>
    <xf numFmtId="0" fontId="0" fillId="7" borderId="3" xfId="0" applyFill="1" applyBorder="1"/>
    <xf numFmtId="0" fontId="4" fillId="7" borderId="2" xfId="0" applyFont="1" applyFill="1" applyBorder="1" applyAlignment="1">
      <alignment horizontal="center"/>
    </xf>
    <xf numFmtId="165" fontId="0" fillId="0" borderId="3" xfId="0" applyNumberFormat="1" applyBorder="1"/>
    <xf numFmtId="0" fontId="0" fillId="3" borderId="3" xfId="0" applyFill="1" applyBorder="1"/>
    <xf numFmtId="165" fontId="0" fillId="3" borderId="3" xfId="0" applyNumberFormat="1" applyFill="1" applyBorder="1"/>
    <xf numFmtId="169" fontId="0" fillId="3" borderId="2" xfId="0" applyNumberFormat="1" applyFill="1" applyBorder="1" applyAlignment="1">
      <alignment horizontal="right"/>
    </xf>
    <xf numFmtId="0" fontId="0" fillId="3" borderId="0" xfId="0" applyFill="1"/>
    <xf numFmtId="0" fontId="4" fillId="8" borderId="3" xfId="0" applyFont="1" applyFill="1" applyBorder="1"/>
    <xf numFmtId="165" fontId="4" fillId="8" borderId="3" xfId="0" applyNumberFormat="1" applyFont="1" applyFill="1" applyBorder="1"/>
    <xf numFmtId="169" fontId="4" fillId="8" borderId="2" xfId="0" applyNumberFormat="1" applyFont="1" applyFill="1" applyBorder="1" applyAlignment="1">
      <alignment horizontal="right"/>
    </xf>
    <xf numFmtId="169" fontId="4" fillId="8" borderId="3" xfId="0" applyNumberFormat="1" applyFont="1" applyFill="1" applyBorder="1" applyAlignment="1">
      <alignment horizontal="right"/>
    </xf>
    <xf numFmtId="0" fontId="4" fillId="6" borderId="3" xfId="0" applyFont="1" applyFill="1" applyBorder="1"/>
    <xf numFmtId="165" fontId="4" fillId="6" borderId="3" xfId="0" applyNumberFormat="1" applyFont="1" applyFill="1" applyBorder="1"/>
    <xf numFmtId="164" fontId="4" fillId="6" borderId="2" xfId="0" applyNumberFormat="1" applyFont="1" applyFill="1" applyBorder="1"/>
    <xf numFmtId="164" fontId="4" fillId="6" borderId="3" xfId="0" applyNumberFormat="1" applyFont="1" applyFill="1" applyBorder="1"/>
    <xf numFmtId="0" fontId="4" fillId="6" borderId="0" xfId="0" applyFont="1" applyFill="1"/>
    <xf numFmtId="165" fontId="4" fillId="6" borderId="0" xfId="0" applyNumberFormat="1" applyFont="1" applyFill="1"/>
    <xf numFmtId="164" fontId="4" fillId="6" borderId="0" xfId="0" applyNumberFormat="1" applyFont="1" applyFill="1"/>
    <xf numFmtId="165" fontId="4" fillId="9" borderId="0" xfId="0" applyNumberFormat="1" applyFont="1" applyFill="1"/>
    <xf numFmtId="0" fontId="10" fillId="0" borderId="4" xfId="1"/>
    <xf numFmtId="0" fontId="0" fillId="10" borderId="0" xfId="0" applyFill="1"/>
    <xf numFmtId="0" fontId="4" fillId="10" borderId="0" xfId="0" applyFont="1" applyFill="1"/>
    <xf numFmtId="0" fontId="5" fillId="10" borderId="3" xfId="0" applyFont="1" applyFill="1" applyBorder="1"/>
    <xf numFmtId="0" fontId="2" fillId="10" borderId="3" xfId="0" applyFont="1" applyFill="1" applyBorder="1" applyAlignment="1">
      <alignment horizontal="center"/>
    </xf>
    <xf numFmtId="0" fontId="2" fillId="10" borderId="2" xfId="0" applyFont="1" applyFill="1" applyBorder="1" applyAlignment="1">
      <alignment horizontal="center"/>
    </xf>
    <xf numFmtId="9" fontId="0" fillId="0" borderId="0" xfId="0" applyNumberFormat="1"/>
    <xf numFmtId="44" fontId="0" fillId="0" borderId="0" xfId="0" applyNumberFormat="1"/>
    <xf numFmtId="1" fontId="6" fillId="0" borderId="0" xfId="0" applyNumberFormat="1" applyFont="1" applyAlignment="1">
      <alignment horizontal="center"/>
    </xf>
    <xf numFmtId="0" fontId="17" fillId="0" borderId="0" xfId="0" applyFont="1" applyAlignment="1">
      <alignment horizontal="left" wrapText="1"/>
    </xf>
    <xf numFmtId="0" fontId="0" fillId="0" borderId="0" xfId="0" applyAlignment="1">
      <alignment wrapText="1"/>
    </xf>
    <xf numFmtId="0" fontId="5" fillId="0" borderId="0" xfId="0" applyFont="1" applyAlignment="1">
      <alignment wrapText="1"/>
    </xf>
    <xf numFmtId="0" fontId="0" fillId="0" borderId="0" xfId="0" quotePrefix="1"/>
    <xf numFmtId="0" fontId="0" fillId="0" borderId="0" xfId="0" applyAlignment="1">
      <alignment vertical="center"/>
    </xf>
    <xf numFmtId="9" fontId="20" fillId="0" borderId="0" xfId="0" applyNumberFormat="1" applyFont="1" applyAlignment="1">
      <alignment horizontal="center" vertical="center"/>
    </xf>
    <xf numFmtId="170" fontId="0" fillId="0" borderId="0" xfId="2" applyNumberFormat="1" applyFont="1"/>
    <xf numFmtId="0" fontId="20" fillId="0" borderId="0" xfId="0" applyFont="1" applyAlignment="1">
      <alignment vertical="center" wrapText="1"/>
    </xf>
    <xf numFmtId="0" fontId="14" fillId="0" borderId="0" xfId="4"/>
    <xf numFmtId="0" fontId="4" fillId="0" borderId="9" xfId="8"/>
    <xf numFmtId="0" fontId="4" fillId="0" borderId="9" xfId="8" applyAlignment="1">
      <alignment wrapText="1"/>
    </xf>
    <xf numFmtId="0" fontId="20" fillId="0" borderId="0" xfId="0" applyFont="1"/>
    <xf numFmtId="0" fontId="12" fillId="0" borderId="0" xfId="0" applyFont="1" applyAlignment="1">
      <alignment horizontal="right"/>
    </xf>
    <xf numFmtId="0" fontId="13" fillId="0" borderId="5" xfId="3"/>
    <xf numFmtId="9" fontId="13" fillId="0" borderId="5" xfId="3" applyNumberFormat="1"/>
    <xf numFmtId="0" fontId="0" fillId="0" borderId="0" xfId="0" applyAlignment="1">
      <alignment horizontal="left" indent="1"/>
    </xf>
    <xf numFmtId="0" fontId="0" fillId="0" borderId="0" xfId="0" applyAlignment="1">
      <alignment horizontal="right" indent="2"/>
    </xf>
    <xf numFmtId="0" fontId="7" fillId="4" borderId="0" xfId="0" applyFont="1" applyFill="1" applyAlignment="1">
      <alignment horizontal="right" indent="2"/>
    </xf>
    <xf numFmtId="0" fontId="2" fillId="3" borderId="1" xfId="0" applyFont="1" applyFill="1" applyBorder="1" applyAlignment="1">
      <alignment horizontal="right" indent="2"/>
    </xf>
    <xf numFmtId="0" fontId="2" fillId="3" borderId="0" xfId="0" applyFont="1" applyFill="1" applyAlignment="1">
      <alignment horizontal="right" indent="2"/>
    </xf>
    <xf numFmtId="0" fontId="13" fillId="0" borderId="5" xfId="3" applyAlignment="1">
      <alignment horizontal="right" indent="2"/>
    </xf>
    <xf numFmtId="170" fontId="15" fillId="11" borderId="6" xfId="2" applyNumberFormat="1" applyFont="1" applyFill="1" applyBorder="1"/>
    <xf numFmtId="171" fontId="15" fillId="11" borderId="6" xfId="2" applyNumberFormat="1" applyFont="1" applyFill="1" applyBorder="1"/>
    <xf numFmtId="44" fontId="4" fillId="12" borderId="9" xfId="8" applyNumberFormat="1" applyFill="1" applyAlignment="1">
      <alignment vertical="center"/>
    </xf>
    <xf numFmtId="44" fontId="4" fillId="12" borderId="9" xfId="8" applyNumberFormat="1" applyFill="1" applyAlignment="1">
      <alignment horizontal="right" indent="2"/>
    </xf>
    <xf numFmtId="171" fontId="16" fillId="12" borderId="7" xfId="6" applyNumberFormat="1" applyAlignment="1">
      <alignment horizontal="right" indent="2"/>
    </xf>
    <xf numFmtId="44" fontId="4" fillId="12" borderId="9" xfId="8" applyNumberFormat="1" applyFill="1"/>
    <xf numFmtId="171" fontId="4" fillId="12" borderId="9" xfId="8" applyNumberFormat="1" applyFill="1"/>
    <xf numFmtId="44" fontId="4" fillId="12" borderId="9" xfId="8" applyNumberFormat="1" applyFill="1" applyAlignment="1">
      <alignment horizontal="right"/>
    </xf>
    <xf numFmtId="44" fontId="4" fillId="12" borderId="9" xfId="8" applyNumberFormat="1" applyFill="1" applyAlignment="1">
      <alignment horizontal="center"/>
    </xf>
    <xf numFmtId="0" fontId="4" fillId="12" borderId="9" xfId="8" applyFill="1"/>
    <xf numFmtId="0" fontId="0" fillId="0" borderId="0" xfId="0" applyAlignment="1">
      <alignment horizontal="right" indent="1"/>
    </xf>
    <xf numFmtId="0" fontId="21" fillId="0" borderId="0" xfId="0" applyFont="1" applyAlignment="1">
      <alignment horizontal="right" indent="1"/>
    </xf>
    <xf numFmtId="0" fontId="3" fillId="0" borderId="0" xfId="0" applyFont="1" applyAlignment="1">
      <alignment horizontal="right" indent="1"/>
    </xf>
    <xf numFmtId="0" fontId="20" fillId="0" borderId="0" xfId="0" applyFont="1" applyAlignment="1">
      <alignment horizontal="center" vertical="center"/>
    </xf>
    <xf numFmtId="0" fontId="10" fillId="0" borderId="4" xfId="1" applyFill="1" applyAlignment="1">
      <alignment horizontal="center" vertical="center"/>
    </xf>
    <xf numFmtId="0" fontId="32" fillId="0" borderId="4" xfId="1" applyFont="1" applyAlignment="1">
      <alignment horizontal="center" wrapText="1"/>
    </xf>
    <xf numFmtId="0" fontId="4" fillId="0" borderId="9" xfId="8" quotePrefix="1"/>
    <xf numFmtId="171" fontId="4" fillId="12" borderId="9" xfId="8" applyNumberFormat="1" applyFill="1" applyAlignment="1">
      <alignment horizontal="right"/>
    </xf>
    <xf numFmtId="171" fontId="33" fillId="12" borderId="9" xfId="8" applyNumberFormat="1" applyFont="1" applyFill="1" applyAlignment="1">
      <alignment horizontal="right"/>
    </xf>
    <xf numFmtId="171" fontId="15" fillId="11" borderId="6" xfId="2" applyNumberFormat="1" applyFont="1" applyFill="1" applyBorder="1" applyProtection="1">
      <protection locked="0"/>
    </xf>
    <xf numFmtId="171" fontId="15" fillId="11" borderId="0" xfId="2" applyNumberFormat="1" applyFont="1" applyFill="1" applyBorder="1" applyProtection="1">
      <protection locked="0"/>
    </xf>
    <xf numFmtId="0" fontId="0" fillId="0" borderId="0" xfId="0" applyProtection="1">
      <protection locked="0"/>
    </xf>
    <xf numFmtId="0" fontId="6" fillId="13" borderId="8" xfId="7"/>
    <xf numFmtId="0" fontId="15" fillId="11" borderId="6" xfId="5" applyProtection="1">
      <protection locked="0"/>
    </xf>
    <xf numFmtId="9" fontId="15" fillId="11" borderId="6" xfId="5" applyNumberFormat="1" applyProtection="1">
      <protection locked="0"/>
    </xf>
    <xf numFmtId="170" fontId="15" fillId="11" borderId="6" xfId="2" applyNumberFormat="1" applyFont="1" applyFill="1" applyBorder="1" applyProtection="1">
      <protection locked="0"/>
    </xf>
    <xf numFmtId="0" fontId="15" fillId="11" borderId="6" xfId="5" applyAlignment="1" applyProtection="1">
      <alignment horizontal="center"/>
      <protection locked="0"/>
    </xf>
    <xf numFmtId="171" fontId="15" fillId="11" borderId="6" xfId="5" applyNumberFormat="1" applyProtection="1">
      <protection locked="0"/>
    </xf>
    <xf numFmtId="170" fontId="15" fillId="11" borderId="6" xfId="5" applyNumberFormat="1" applyProtection="1">
      <protection locked="0"/>
    </xf>
    <xf numFmtId="171" fontId="6" fillId="13" borderId="8" xfId="7" applyNumberFormat="1"/>
    <xf numFmtId="170" fontId="6" fillId="13" borderId="8" xfId="7" applyNumberFormat="1"/>
    <xf numFmtId="44" fontId="6" fillId="13" borderId="8" xfId="7" applyNumberFormat="1" applyAlignment="1">
      <alignment horizontal="right"/>
    </xf>
    <xf numFmtId="0" fontId="15" fillId="11" borderId="6" xfId="5" applyAlignment="1" applyProtection="1">
      <alignment horizontal="right"/>
      <protection locked="0"/>
    </xf>
    <xf numFmtId="171" fontId="15" fillId="11" borderId="6" xfId="5" applyNumberFormat="1" applyAlignment="1" applyProtection="1">
      <alignment horizontal="right" indent="1"/>
      <protection locked="0"/>
    </xf>
    <xf numFmtId="44" fontId="15" fillId="11" borderId="6" xfId="5" applyNumberFormat="1" applyAlignment="1" applyProtection="1">
      <alignment horizontal="right" indent="1"/>
      <protection locked="0"/>
    </xf>
    <xf numFmtId="171" fontId="15" fillId="11" borderId="6" xfId="5" applyNumberFormat="1" applyAlignment="1" applyProtection="1">
      <alignment horizontal="right"/>
      <protection locked="0"/>
    </xf>
    <xf numFmtId="44" fontId="15" fillId="11" borderId="6" xfId="5" applyNumberFormat="1" applyProtection="1">
      <protection locked="0"/>
    </xf>
    <xf numFmtId="171" fontId="6" fillId="13" borderId="8" xfId="7" applyNumberFormat="1" applyAlignment="1">
      <alignment horizontal="right"/>
    </xf>
    <xf numFmtId="0" fontId="34" fillId="11" borderId="6" xfId="5" applyFont="1" applyAlignment="1" applyProtection="1">
      <alignment horizontal="right"/>
      <protection locked="0"/>
    </xf>
    <xf numFmtId="0" fontId="0" fillId="0" borderId="0" xfId="0" applyAlignment="1">
      <alignment horizontal="right"/>
    </xf>
    <xf numFmtId="0" fontId="20" fillId="0" borderId="0" xfId="0" applyFont="1" applyAlignment="1">
      <alignment horizontal="right"/>
    </xf>
    <xf numFmtId="0" fontId="0" fillId="0" borderId="11" xfId="0" applyBorder="1"/>
    <xf numFmtId="0" fontId="0" fillId="0" borderId="11" xfId="0" applyBorder="1" applyAlignment="1">
      <alignment horizontal="right"/>
    </xf>
    <xf numFmtId="0" fontId="0" fillId="0" borderId="16" xfId="0" applyBorder="1"/>
    <xf numFmtId="0" fontId="0" fillId="0" borderId="16" xfId="0" applyBorder="1" applyAlignment="1">
      <alignment horizontal="right"/>
    </xf>
    <xf numFmtId="0" fontId="0" fillId="0" borderId="10" xfId="0" applyBorder="1"/>
    <xf numFmtId="0" fontId="0" fillId="0" borderId="12" xfId="0" applyBorder="1"/>
    <xf numFmtId="0" fontId="0" fillId="0" borderId="15" xfId="0" applyBorder="1"/>
    <xf numFmtId="166" fontId="15" fillId="11" borderId="29" xfId="2" applyFont="1" applyFill="1" applyBorder="1" applyAlignment="1" applyProtection="1">
      <alignment horizontal="right"/>
      <protection locked="0"/>
    </xf>
    <xf numFmtId="166" fontId="15" fillId="11" borderId="28" xfId="2" applyFont="1" applyFill="1" applyBorder="1" applyAlignment="1" applyProtection="1">
      <alignment horizontal="right"/>
      <protection locked="0"/>
    </xf>
    <xf numFmtId="166" fontId="15" fillId="11" borderId="27" xfId="2" applyFont="1" applyFill="1" applyBorder="1" applyAlignment="1" applyProtection="1">
      <alignment horizontal="right"/>
      <protection locked="0"/>
    </xf>
    <xf numFmtId="170" fontId="6" fillId="13" borderId="8" xfId="2" applyNumberFormat="1" applyFont="1" applyFill="1" applyBorder="1"/>
    <xf numFmtId="0" fontId="4" fillId="0" borderId="9" xfId="8" applyAlignment="1">
      <alignment horizontal="right"/>
    </xf>
    <xf numFmtId="0" fontId="40" fillId="0" borderId="0" xfId="11" applyFont="1" applyBorder="1" applyAlignment="1">
      <alignment wrapText="1"/>
    </xf>
    <xf numFmtId="0" fontId="40" fillId="0" borderId="22" xfId="11" applyFont="1" applyBorder="1" applyAlignment="1">
      <alignment wrapText="1"/>
    </xf>
    <xf numFmtId="167" fontId="15" fillId="11" borderId="6" xfId="5" applyNumberFormat="1" applyProtection="1">
      <protection locked="0"/>
    </xf>
    <xf numFmtId="0" fontId="15" fillId="11" borderId="26" xfId="5" applyBorder="1" applyAlignment="1" applyProtection="1">
      <alignment horizontal="right" indent="1"/>
      <protection locked="0"/>
    </xf>
    <xf numFmtId="0" fontId="4" fillId="17" borderId="0" xfId="0" applyFont="1" applyFill="1"/>
    <xf numFmtId="165" fontId="4" fillId="17" borderId="0" xfId="0" applyNumberFormat="1" applyFont="1" applyFill="1"/>
    <xf numFmtId="164" fontId="4" fillId="17" borderId="0" xfId="0" applyNumberFormat="1" applyFont="1" applyFill="1"/>
    <xf numFmtId="0" fontId="37" fillId="0" borderId="0" xfId="9"/>
    <xf numFmtId="0" fontId="37" fillId="0" borderId="0" xfId="9" applyAlignment="1">
      <alignment horizontal="right"/>
    </xf>
    <xf numFmtId="0" fontId="10" fillId="0" borderId="0" xfId="1" applyBorder="1"/>
    <xf numFmtId="171" fontId="16" fillId="12" borderId="7" xfId="6" applyNumberFormat="1"/>
    <xf numFmtId="0" fontId="15" fillId="11" borderId="6" xfId="5"/>
    <xf numFmtId="171" fontId="15" fillId="11" borderId="6" xfId="5" applyNumberFormat="1"/>
    <xf numFmtId="9" fontId="16" fillId="12" borderId="7" xfId="6" applyNumberFormat="1"/>
    <xf numFmtId="0" fontId="46" fillId="0" borderId="0" xfId="0" applyFont="1"/>
    <xf numFmtId="0" fontId="47" fillId="0" borderId="0" xfId="0" applyFont="1"/>
    <xf numFmtId="0" fontId="48" fillId="0" borderId="0" xfId="0" applyFont="1"/>
    <xf numFmtId="0" fontId="49" fillId="0" borderId="0" xfId="0" applyFont="1" applyAlignment="1">
      <alignment vertical="center"/>
    </xf>
    <xf numFmtId="0" fontId="36" fillId="0" borderId="0" xfId="0" applyFont="1" applyAlignment="1">
      <alignment vertical="center"/>
    </xf>
    <xf numFmtId="0" fontId="39" fillId="18" borderId="30" xfId="12" applyFont="1" applyProtection="1">
      <protection locked="0"/>
    </xf>
    <xf numFmtId="0" fontId="52" fillId="0" borderId="0" xfId="0" applyFont="1"/>
    <xf numFmtId="0" fontId="52" fillId="0" borderId="0" xfId="0" applyFont="1" applyAlignment="1">
      <alignment vertical="center"/>
    </xf>
    <xf numFmtId="0" fontId="53" fillId="11" borderId="6" xfId="5" applyFont="1" applyAlignment="1">
      <alignment vertical="center"/>
    </xf>
    <xf numFmtId="0" fontId="54" fillId="0" borderId="0" xfId="0" applyFont="1"/>
    <xf numFmtId="0" fontId="4" fillId="15" borderId="0" xfId="0" applyFont="1" applyFill="1" applyAlignment="1">
      <alignment vertical="center"/>
    </xf>
    <xf numFmtId="165" fontId="4" fillId="15" borderId="0" xfId="0" applyNumberFormat="1" applyFont="1" applyFill="1" applyAlignment="1">
      <alignment vertical="center"/>
    </xf>
    <xf numFmtId="0" fontId="4" fillId="15" borderId="3" xfId="0" applyFont="1" applyFill="1" applyBorder="1" applyAlignment="1">
      <alignment vertical="center"/>
    </xf>
    <xf numFmtId="9" fontId="4" fillId="15" borderId="2" xfId="10" applyFont="1" applyFill="1" applyBorder="1" applyAlignment="1">
      <alignment vertical="center"/>
    </xf>
    <xf numFmtId="0" fontId="56" fillId="11" borderId="35" xfId="5" applyFont="1" applyBorder="1" applyAlignment="1" applyProtection="1">
      <alignment vertical="center"/>
      <protection locked="0"/>
    </xf>
    <xf numFmtId="169" fontId="4" fillId="15" borderId="3" xfId="0" applyNumberFormat="1" applyFont="1" applyFill="1" applyBorder="1" applyAlignment="1">
      <alignment horizontal="right" vertical="center"/>
    </xf>
    <xf numFmtId="170" fontId="58" fillId="13" borderId="36" xfId="2" applyNumberFormat="1" applyFont="1" applyFill="1" applyBorder="1" applyAlignment="1">
      <alignment vertical="center"/>
    </xf>
    <xf numFmtId="9" fontId="59" fillId="7" borderId="0" xfId="0" applyNumberFormat="1" applyFont="1" applyFill="1" applyAlignment="1">
      <alignment horizontal="center" vertical="center"/>
    </xf>
    <xf numFmtId="0" fontId="60" fillId="13" borderId="8" xfId="7" applyFont="1"/>
    <xf numFmtId="0" fontId="4" fillId="7" borderId="0" xfId="0" applyFont="1" applyFill="1" applyAlignment="1">
      <alignment horizontal="right"/>
    </xf>
    <xf numFmtId="0" fontId="11" fillId="19" borderId="0" xfId="0" applyFont="1" applyFill="1"/>
    <xf numFmtId="0" fontId="64" fillId="20" borderId="0" xfId="0" applyFont="1" applyFill="1"/>
    <xf numFmtId="0" fontId="11" fillId="20" borderId="0" xfId="0" applyFont="1" applyFill="1"/>
    <xf numFmtId="0" fontId="7" fillId="20" borderId="0" xfId="0" applyFont="1" applyFill="1"/>
    <xf numFmtId="0" fontId="6" fillId="20" borderId="0" xfId="0" applyFont="1" applyFill="1"/>
    <xf numFmtId="14" fontId="6" fillId="20" borderId="0" xfId="0" applyNumberFormat="1" applyFont="1" applyFill="1"/>
    <xf numFmtId="0" fontId="68" fillId="20" borderId="0" xfId="1" applyFont="1" applyFill="1" applyBorder="1" applyProtection="1"/>
    <xf numFmtId="0" fontId="70" fillId="20" borderId="0" xfId="1" applyFont="1" applyFill="1" applyBorder="1" applyAlignment="1" applyProtection="1"/>
    <xf numFmtId="0" fontId="69" fillId="20" borderId="0" xfId="0" applyFont="1" applyFill="1"/>
    <xf numFmtId="14" fontId="69" fillId="20" borderId="0" xfId="0" applyNumberFormat="1" applyFont="1" applyFill="1" applyAlignment="1">
      <alignment horizontal="right"/>
    </xf>
    <xf numFmtId="0" fontId="57" fillId="0" borderId="0" xfId="1" applyFont="1" applyBorder="1"/>
    <xf numFmtId="172" fontId="4" fillId="8" borderId="3" xfId="0" applyNumberFormat="1" applyFont="1" applyFill="1" applyBorder="1"/>
    <xf numFmtId="0" fontId="65" fillId="20" borderId="0" xfId="0" applyFont="1" applyFill="1" applyAlignment="1">
      <alignment horizontal="left" vertical="center" wrapText="1"/>
    </xf>
    <xf numFmtId="0" fontId="67" fillId="20" borderId="0" xfId="0" applyFont="1" applyFill="1" applyAlignment="1">
      <alignment horizontal="center" vertical="center"/>
    </xf>
    <xf numFmtId="0" fontId="45" fillId="0" borderId="0" xfId="9" applyFont="1" applyAlignment="1">
      <alignment horizontal="left"/>
    </xf>
    <xf numFmtId="0" fontId="4" fillId="15" borderId="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40" fillId="0" borderId="18" xfId="11" applyFont="1" applyBorder="1" applyAlignment="1">
      <alignment horizontal="left" vertical="top" wrapText="1"/>
    </xf>
    <xf numFmtId="0" fontId="40" fillId="0" borderId="19" xfId="11" applyFont="1" applyBorder="1" applyAlignment="1">
      <alignment horizontal="left" vertical="top" wrapText="1"/>
    </xf>
    <xf numFmtId="0" fontId="40" fillId="0" borderId="20" xfId="11" applyFont="1" applyBorder="1" applyAlignment="1">
      <alignment horizontal="left" vertical="top" wrapText="1"/>
    </xf>
    <xf numFmtId="0" fontId="40" fillId="0" borderId="21" xfId="11" applyFont="1" applyBorder="1" applyAlignment="1">
      <alignment horizontal="left" vertical="center" wrapText="1" indent="2"/>
    </xf>
    <xf numFmtId="0" fontId="40" fillId="0" borderId="0" xfId="11" applyFont="1" applyBorder="1" applyAlignment="1">
      <alignment horizontal="left" vertical="center" wrapText="1" indent="2"/>
    </xf>
    <xf numFmtId="0" fontId="40" fillId="0" borderId="22" xfId="11" applyFont="1" applyBorder="1" applyAlignment="1">
      <alignment horizontal="left" vertical="center" wrapText="1" indent="2"/>
    </xf>
    <xf numFmtId="0" fontId="40" fillId="16" borderId="23" xfId="11" applyFont="1" applyFill="1" applyBorder="1" applyAlignment="1">
      <alignment horizontal="left" vertical="center" wrapText="1" indent="2"/>
    </xf>
    <xf numFmtId="0" fontId="40" fillId="16" borderId="24" xfId="11" applyFont="1" applyFill="1" applyBorder="1" applyAlignment="1">
      <alignment horizontal="left" vertical="center" wrapText="1" indent="2"/>
    </xf>
    <xf numFmtId="0" fontId="40" fillId="16" borderId="25" xfId="11" applyFont="1" applyFill="1" applyBorder="1" applyAlignment="1">
      <alignment horizontal="left" vertical="center" wrapText="1" indent="2"/>
    </xf>
    <xf numFmtId="0" fontId="43" fillId="0" borderId="21" xfId="11" applyFont="1" applyBorder="1" applyAlignment="1">
      <alignment horizontal="left" vertical="center" wrapText="1"/>
    </xf>
    <xf numFmtId="0" fontId="43" fillId="0" borderId="0" xfId="11" applyFont="1" applyBorder="1" applyAlignment="1">
      <alignment horizontal="left" vertical="center" wrapText="1"/>
    </xf>
    <xf numFmtId="0" fontId="5" fillId="0" borderId="31" xfId="0" applyFont="1" applyBorder="1" applyAlignment="1">
      <alignment horizontal="left"/>
    </xf>
    <xf numFmtId="0" fontId="5" fillId="0" borderId="32" xfId="0" applyFont="1" applyBorder="1" applyAlignment="1">
      <alignment horizontal="left"/>
    </xf>
    <xf numFmtId="0" fontId="0" fillId="0" borderId="0" xfId="0" applyAlignment="1">
      <alignment horizontal="left" wrapText="1"/>
    </xf>
    <xf numFmtId="0" fontId="0" fillId="0" borderId="33" xfId="0" applyBorder="1" applyAlignment="1">
      <alignment horizontal="left" wrapText="1"/>
    </xf>
    <xf numFmtId="0" fontId="0" fillId="0" borderId="0" xfId="0" applyAlignment="1">
      <alignment horizontal="left"/>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37" fillId="14" borderId="13" xfId="9" applyFill="1" applyBorder="1" applyAlignment="1">
      <alignment horizontal="left" wrapText="1"/>
    </xf>
    <xf numFmtId="0" fontId="0" fillId="14" borderId="0" xfId="0" applyFill="1" applyAlignment="1">
      <alignment horizontal="left" wrapText="1"/>
    </xf>
    <xf numFmtId="0" fontId="0" fillId="14" borderId="14" xfId="0" applyFill="1" applyBorder="1" applyAlignment="1">
      <alignment horizontal="left" wrapText="1"/>
    </xf>
    <xf numFmtId="0" fontId="0" fillId="14" borderId="13" xfId="0" applyFill="1" applyBorder="1" applyAlignment="1">
      <alignment horizontal="left" wrapText="1"/>
    </xf>
    <xf numFmtId="0" fontId="0" fillId="14" borderId="15" xfId="0" applyFill="1" applyBorder="1" applyAlignment="1">
      <alignment horizontal="left" wrapText="1"/>
    </xf>
    <xf numFmtId="0" fontId="0" fillId="14" borderId="16" xfId="0" applyFill="1" applyBorder="1" applyAlignment="1">
      <alignment horizontal="left" wrapText="1"/>
    </xf>
    <xf numFmtId="0" fontId="0" fillId="14" borderId="17" xfId="0" applyFill="1" applyBorder="1" applyAlignment="1">
      <alignment horizontal="left" wrapText="1"/>
    </xf>
    <xf numFmtId="0" fontId="37" fillId="6" borderId="13" xfId="9" applyFill="1" applyBorder="1" applyAlignment="1">
      <alignment horizontal="left" vertical="center" wrapText="1"/>
    </xf>
    <xf numFmtId="0" fontId="37" fillId="6" borderId="0" xfId="9" applyFill="1" applyBorder="1" applyAlignment="1">
      <alignment horizontal="left" vertical="center" wrapText="1"/>
    </xf>
    <xf numFmtId="0" fontId="37" fillId="6" borderId="14" xfId="9" applyFill="1" applyBorder="1" applyAlignment="1">
      <alignment horizontal="left" vertical="center" wrapText="1"/>
    </xf>
    <xf numFmtId="0" fontId="37" fillId="6" borderId="15" xfId="9" applyFill="1" applyBorder="1" applyAlignment="1">
      <alignment horizontal="left" vertical="center" wrapText="1"/>
    </xf>
    <xf numFmtId="0" fontId="37" fillId="6" borderId="16" xfId="9" applyFill="1" applyBorder="1" applyAlignment="1">
      <alignment horizontal="left" vertical="center" wrapText="1"/>
    </xf>
    <xf numFmtId="0" fontId="37" fillId="6" borderId="17" xfId="9" applyFill="1" applyBorder="1" applyAlignment="1">
      <alignment horizontal="left" vertical="center" wrapText="1"/>
    </xf>
    <xf numFmtId="0" fontId="38" fillId="6" borderId="10" xfId="0" applyFont="1" applyFill="1" applyBorder="1" applyAlignment="1">
      <alignment horizontal="left" vertical="center" wrapText="1"/>
    </xf>
    <xf numFmtId="0" fontId="38" fillId="6" borderId="11" xfId="0" applyFont="1" applyFill="1" applyBorder="1" applyAlignment="1">
      <alignment horizontal="left" vertical="center" wrapText="1"/>
    </xf>
    <xf numFmtId="0" fontId="38" fillId="6" borderId="12" xfId="0" applyFont="1" applyFill="1" applyBorder="1" applyAlignment="1">
      <alignment horizontal="left" vertical="center" wrapText="1"/>
    </xf>
    <xf numFmtId="0" fontId="38" fillId="14" borderId="10" xfId="0" applyFont="1" applyFill="1" applyBorder="1" applyAlignment="1">
      <alignment horizontal="left" vertical="center" wrapText="1"/>
    </xf>
    <xf numFmtId="0" fontId="38" fillId="14" borderId="11" xfId="0" applyFont="1" applyFill="1" applyBorder="1" applyAlignment="1">
      <alignment horizontal="left" vertical="center" wrapText="1"/>
    </xf>
    <xf numFmtId="0" fontId="38" fillId="14" borderId="12" xfId="0" applyFont="1" applyFill="1" applyBorder="1" applyAlignment="1">
      <alignment horizontal="left" vertical="center" wrapText="1"/>
    </xf>
    <xf numFmtId="0" fontId="0" fillId="0" borderId="0" xfId="0" applyAlignment="1">
      <alignment horizontal="left" wrapText="1" indent="1"/>
    </xf>
    <xf numFmtId="0" fontId="20" fillId="0" borderId="0" xfId="0" applyFont="1" applyAlignment="1">
      <alignment horizontal="center" vertical="center"/>
    </xf>
    <xf numFmtId="0" fontId="35" fillId="0" borderId="4" xfId="1" applyFont="1" applyAlignment="1">
      <alignment horizontal="center"/>
    </xf>
  </cellXfs>
  <cellStyles count="13">
    <cellStyle name="Forklarende tekst" xfId="11" builtinId="53"/>
    <cellStyle name="Hyperkobling" xfId="9" builtinId="8"/>
    <cellStyle name="Inndata" xfId="5" builtinId="20"/>
    <cellStyle name="Komma" xfId="2" builtinId="3"/>
    <cellStyle name="Kontrollcelle" xfId="7" builtinId="23"/>
    <cellStyle name="Merknad" xfId="12" builtinId="10"/>
    <cellStyle name="Normal" xfId="0" builtinId="0"/>
    <cellStyle name="Overskrift 1" xfId="1" builtinId="16"/>
    <cellStyle name="Overskrift 2" xfId="3" builtinId="17"/>
    <cellStyle name="Overskrift 4" xfId="4" builtinId="19"/>
    <cellStyle name="Prosent" xfId="10" builtinId="5"/>
    <cellStyle name="Totalt" xfId="8" builtinId="25"/>
    <cellStyle name="Utdata" xfId="6"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A-2E40-493B-9CD5-B84753FCEA2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2E40-493B-9CD5-B84753FCEA2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2E40-493B-9CD5-B84753FCEA2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2E40-493B-9CD5-B84753FCEA2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2E40-493B-9CD5-B84753FCEA2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9-2E40-493B-9CD5-B84753FCEA2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2-2E40-493B-9CD5-B84753FCEA2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E40-493B-9CD5-B84753FCEA2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3-2E40-493B-9CD5-B84753FCEA2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6-2E40-493B-9CD5-B84753FCEA2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1-2E40-493B-9CD5-B84753FCEA2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C-2E40-493B-9CD5-B84753FCEA2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2E40-493B-9CD5-B84753FCEA2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E-2E40-493B-9CD5-B84753FCEA2A}"/>
              </c:ext>
            </c:extLst>
          </c:dPt>
          <c:dLbls>
            <c:delete val="1"/>
          </c:dLbls>
          <c:cat>
            <c:strRef>
              <c:f>'FORSIDE - Summerte kostnader'!$B$19:$B$32</c:f>
              <c:strCache>
                <c:ptCount val="14"/>
                <c:pt idx="0">
                  <c:v>Kapitalkostnad ved kjøp</c:v>
                </c:pt>
                <c:pt idx="1">
                  <c:v>Leasing</c:v>
                </c:pt>
                <c:pt idx="2">
                  <c:v>Forsikring</c:v>
                </c:pt>
                <c:pt idx="3">
                  <c:v>Olje</c:v>
                </c:pt>
                <c:pt idx="4">
                  <c:v>Service</c:v>
                </c:pt>
                <c:pt idx="5">
                  <c:v>Reparasjoner</c:v>
                </c:pt>
                <c:pt idx="6">
                  <c:v>Dekk</c:v>
                </c:pt>
                <c:pt idx="7">
                  <c:v>Kjetting og belter</c:v>
                </c:pt>
                <c:pt idx="8">
                  <c:v>Administrasjon</c:v>
                </c:pt>
                <c:pt idx="9">
                  <c:v>Lønn</c:v>
                </c:pt>
                <c:pt idx="10">
                  <c:v>Driftsplanlegging</c:v>
                </c:pt>
                <c:pt idx="11">
                  <c:v>Diesel</c:v>
                </c:pt>
                <c:pt idx="12">
                  <c:v>Arbeidsbil</c:v>
                </c:pt>
                <c:pt idx="13">
                  <c:v>Flytting</c:v>
                </c:pt>
              </c:strCache>
            </c:strRef>
          </c:cat>
          <c:val>
            <c:numRef>
              <c:f>'FORSIDE - Summerte kostnader'!$E$19:$E$32</c:f>
              <c:numCache>
                <c:formatCode>0.0\ %</c:formatCode>
                <c:ptCount val="14"/>
                <c:pt idx="0">
                  <c:v>0</c:v>
                </c:pt>
                <c:pt idx="1">
                  <c:v>0.29135518822058698</c:v>
                </c:pt>
                <c:pt idx="2">
                  <c:v>1.5644641054297699E-2</c:v>
                </c:pt>
                <c:pt idx="3">
                  <c:v>5.8667403953616372E-3</c:v>
                </c:pt>
                <c:pt idx="4">
                  <c:v>1.1733480790723274E-2</c:v>
                </c:pt>
                <c:pt idx="5">
                  <c:v>4.6933923162893097E-2</c:v>
                </c:pt>
                <c:pt idx="6">
                  <c:v>7.8223205271488495E-3</c:v>
                </c:pt>
                <c:pt idx="7">
                  <c:v>4.8889503294680309E-2</c:v>
                </c:pt>
                <c:pt idx="8">
                  <c:v>4.7422818195839898E-2</c:v>
                </c:pt>
                <c:pt idx="9">
                  <c:v>0.24958811545559303</c:v>
                </c:pt>
                <c:pt idx="10">
                  <c:v>3.5200442372169821E-2</c:v>
                </c:pt>
                <c:pt idx="11">
                  <c:v>0.11968150406537739</c:v>
                </c:pt>
                <c:pt idx="12">
                  <c:v>6.9814210704803481E-2</c:v>
                </c:pt>
                <c:pt idx="13">
                  <c:v>5.0047111760524406E-2</c:v>
                </c:pt>
              </c:numCache>
            </c:numRef>
          </c:val>
          <c:extLst>
            <c:ext xmlns:c16="http://schemas.microsoft.com/office/drawing/2014/chart" uri="{C3380CC4-5D6E-409C-BE32-E72D297353CC}">
              <c16:uniqueId val="{00000000-FA6F-4326-85D9-3FA16A55A28E}"/>
            </c:ext>
          </c:extLst>
        </c:ser>
        <c:dLbls>
          <c:dLblPos val="outEnd"/>
          <c:showLegendKey val="0"/>
          <c:showVal val="0"/>
          <c:showCatName val="1"/>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'Lassbærer SA'!$G$15:$G$26</c:f>
              <c:strCache>
                <c:ptCount val="12"/>
                <c:pt idx="0">
                  <c:v>Kapitalkostnad</c:v>
                </c:pt>
                <c:pt idx="1">
                  <c:v>Forsikring</c:v>
                </c:pt>
                <c:pt idx="2">
                  <c:v>Olje</c:v>
                </c:pt>
                <c:pt idx="3">
                  <c:v>Service</c:v>
                </c:pt>
                <c:pt idx="4">
                  <c:v>Reparasjon</c:v>
                </c:pt>
                <c:pt idx="5">
                  <c:v>Dekk</c:v>
                </c:pt>
                <c:pt idx="6">
                  <c:v>Kjetting</c:v>
                </c:pt>
                <c:pt idx="7">
                  <c:v>Administrasjon</c:v>
                </c:pt>
                <c:pt idx="8">
                  <c:v>Lønn</c:v>
                </c:pt>
                <c:pt idx="9">
                  <c:v>Kontor</c:v>
                </c:pt>
                <c:pt idx="10">
                  <c:v>Diesel</c:v>
                </c:pt>
                <c:pt idx="11">
                  <c:v>Flytte</c:v>
                </c:pt>
              </c:strCache>
            </c:strRef>
          </c:cat>
          <c:val>
            <c:numRef>
              <c:f>'Lassbærer SA'!$K$15:$K$26</c:f>
              <c:numCache>
                <c:formatCode>0.00%</c:formatCode>
                <c:ptCount val="12"/>
                <c:pt idx="0">
                  <c:v>0.22006621004019161</c:v>
                </c:pt>
                <c:pt idx="1">
                  <c:v>1.9488600448770824E-2</c:v>
                </c:pt>
                <c:pt idx="2">
                  <c:v>1.7539740403893743E-2</c:v>
                </c:pt>
                <c:pt idx="3">
                  <c:v>1.9488600448770824E-2</c:v>
                </c:pt>
                <c:pt idx="4">
                  <c:v>0.12992400299180551</c:v>
                </c:pt>
                <c:pt idx="5">
                  <c:v>1.4551488335082215E-2</c:v>
                </c:pt>
                <c:pt idx="6">
                  <c:v>2.057130047370254E-2</c:v>
                </c:pt>
                <c:pt idx="7">
                  <c:v>5.684175130891491E-2</c:v>
                </c:pt>
                <c:pt idx="8">
                  <c:v>0.34906248803798418</c:v>
                </c:pt>
                <c:pt idx="9">
                  <c:v>4.8721501121927061E-3</c:v>
                </c:pt>
                <c:pt idx="10">
                  <c:v>8.5749841974591637E-2</c:v>
                </c:pt>
                <c:pt idx="11">
                  <c:v>6.184382542409942E-2</c:v>
                </c:pt>
              </c:numCache>
            </c:numRef>
          </c:val>
          <c:extLst>
            <c:ext xmlns:c16="http://schemas.microsoft.com/office/drawing/2014/chart" uri="{C3380CC4-5D6E-409C-BE32-E72D297353CC}">
              <c16:uniqueId val="{00000000-E569-4B20-A2CE-7442BCDB4DBF}"/>
            </c:ext>
          </c:extLst>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1.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2.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3.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8" Type="http://schemas.openxmlformats.org/officeDocument/2006/relationships/hyperlink" Target="#Arbeidsbil!A1"/><Relationship Id="rId13" Type="http://schemas.openxmlformats.org/officeDocument/2006/relationships/hyperlink" Target="mailto:post@skogkurs.no" TargetMode="External"/><Relationship Id="rId3" Type="http://schemas.openxmlformats.org/officeDocument/2006/relationships/hyperlink" Target="#Hjulutrustning!A1"/><Relationship Id="rId7" Type="http://schemas.openxmlformats.org/officeDocument/2006/relationships/hyperlink" Target="#'Arbeidst&#248;y og personlig utstyr'!A1"/><Relationship Id="rId12" Type="http://schemas.openxmlformats.org/officeDocument/2006/relationships/hyperlink" Target="#Reparasjoner!A1"/><Relationship Id="rId2" Type="http://schemas.openxmlformats.org/officeDocument/2006/relationships/hyperlink" Target="#Kapitalkostnad!A1"/><Relationship Id="rId1" Type="http://schemas.openxmlformats.org/officeDocument/2006/relationships/chart" Target="../charts/chart1.xml"/><Relationship Id="rId6" Type="http://schemas.openxmlformats.org/officeDocument/2006/relationships/hyperlink" Target="#'Oljer og diesel'!A1"/><Relationship Id="rId11" Type="http://schemas.openxmlformats.org/officeDocument/2006/relationships/hyperlink" Target="#'Service '!A1"/><Relationship Id="rId5" Type="http://schemas.openxmlformats.org/officeDocument/2006/relationships/hyperlink" Target="#'Administrasjon og planlegging'!A1"/><Relationship Id="rId15" Type="http://schemas.openxmlformats.org/officeDocument/2006/relationships/image" Target="../media/image2.png"/><Relationship Id="rId10" Type="http://schemas.openxmlformats.org/officeDocument/2006/relationships/hyperlink" Target="#Forsikring!A1"/><Relationship Id="rId4" Type="http://schemas.openxmlformats.org/officeDocument/2006/relationships/hyperlink" Target="#L&#248;nn!A1"/><Relationship Id="rId9" Type="http://schemas.openxmlformats.org/officeDocument/2006/relationships/hyperlink" Target="#Flytting!A1"/><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 - Summerte kostnader'!A1"/></Relationships>
</file>

<file path=xl/drawings/_rels/drawing4.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5.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6.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7.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8.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9.xml.rels><?xml version="1.0" encoding="UTF-8" standalone="yes"?>
<Relationships xmlns="http://schemas.openxmlformats.org/package/2006/relationships"><Relationship Id="rId2" Type="http://schemas.openxmlformats.org/officeDocument/2006/relationships/hyperlink" Target="#'FORSIDE - Summerte kostnader'!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7</xdr:col>
      <xdr:colOff>200025</xdr:colOff>
      <xdr:row>9</xdr:row>
      <xdr:rowOff>153866</xdr:rowOff>
    </xdr:to>
    <xdr:sp macro="" textlink="">
      <xdr:nvSpPr>
        <xdr:cNvPr id="3" name="Rektangel: avrundede hjørner 2">
          <a:extLst>
            <a:ext uri="{FF2B5EF4-FFF2-40B4-BE49-F238E27FC236}">
              <a16:creationId xmlns:a16="http://schemas.microsoft.com/office/drawing/2014/main" id="{8002E6BB-5C21-4A97-BB81-629873769D09}"/>
            </a:ext>
          </a:extLst>
        </xdr:cNvPr>
        <xdr:cNvSpPr/>
      </xdr:nvSpPr>
      <xdr:spPr>
        <a:xfrm>
          <a:off x="762000" y="1333500"/>
          <a:ext cx="4772025" cy="534866"/>
        </a:xfrm>
        <a:prstGeom prst="roundRect">
          <a:avLst/>
        </a:prstGeom>
        <a:solidFill>
          <a:schemeClr val="accent3">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summerte kostnader</a:t>
          </a:r>
        </a:p>
      </xdr:txBody>
    </xdr:sp>
    <xdr:clientData/>
  </xdr:twoCellAnchor>
  <xdr:twoCellAnchor>
    <xdr:from>
      <xdr:col>2</xdr:col>
      <xdr:colOff>0</xdr:colOff>
      <xdr:row>15</xdr:row>
      <xdr:rowOff>0</xdr:rowOff>
    </xdr:from>
    <xdr:to>
      <xdr:col>4</xdr:col>
      <xdr:colOff>51289</xdr:colOff>
      <xdr:row>17</xdr:row>
      <xdr:rowOff>153866</xdr:rowOff>
    </xdr:to>
    <xdr:sp macro="" textlink="">
      <xdr:nvSpPr>
        <xdr:cNvPr id="4" name="Rektangel: avrundede hjørner 3">
          <a:extLst>
            <a:ext uri="{FF2B5EF4-FFF2-40B4-BE49-F238E27FC236}">
              <a16:creationId xmlns:a16="http://schemas.microsoft.com/office/drawing/2014/main" id="{836AEF38-3857-4A38-9BCF-6E881891E4B8}"/>
            </a:ext>
          </a:extLst>
        </xdr:cNvPr>
        <xdr:cNvSpPr/>
      </xdr:nvSpPr>
      <xdr:spPr>
        <a:xfrm>
          <a:off x="1524000" y="2857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Kapitalkostnader</a:t>
          </a:r>
        </a:p>
      </xdr:txBody>
    </xdr:sp>
    <xdr:clientData/>
  </xdr:twoCellAnchor>
  <xdr:twoCellAnchor>
    <xdr:from>
      <xdr:col>2</xdr:col>
      <xdr:colOff>0</xdr:colOff>
      <xdr:row>20</xdr:row>
      <xdr:rowOff>0</xdr:rowOff>
    </xdr:from>
    <xdr:to>
      <xdr:col>8</xdr:col>
      <xdr:colOff>285750</xdr:colOff>
      <xdr:row>22</xdr:row>
      <xdr:rowOff>153866</xdr:rowOff>
    </xdr:to>
    <xdr:sp macro="" textlink="">
      <xdr:nvSpPr>
        <xdr:cNvPr id="5" name="Rektangel: avrundede hjørner 4">
          <a:extLst>
            <a:ext uri="{FF2B5EF4-FFF2-40B4-BE49-F238E27FC236}">
              <a16:creationId xmlns:a16="http://schemas.microsoft.com/office/drawing/2014/main" id="{F47B6AD3-943A-44F9-9DF1-67BC43DB5CF3}"/>
            </a:ext>
          </a:extLst>
        </xdr:cNvPr>
        <xdr:cNvSpPr/>
      </xdr:nvSpPr>
      <xdr:spPr>
        <a:xfrm>
          <a:off x="1524000" y="3810000"/>
          <a:ext cx="48577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administrasjon og planlegging</a:t>
          </a:r>
        </a:p>
      </xdr:txBody>
    </xdr:sp>
    <xdr:clientData/>
  </xdr:twoCellAnchor>
  <xdr:twoCellAnchor>
    <xdr:from>
      <xdr:col>5</xdr:col>
      <xdr:colOff>0</xdr:colOff>
      <xdr:row>15</xdr:row>
      <xdr:rowOff>0</xdr:rowOff>
    </xdr:from>
    <xdr:to>
      <xdr:col>7</xdr:col>
      <xdr:colOff>51289</xdr:colOff>
      <xdr:row>17</xdr:row>
      <xdr:rowOff>153866</xdr:rowOff>
    </xdr:to>
    <xdr:sp macro="" textlink="">
      <xdr:nvSpPr>
        <xdr:cNvPr id="7" name="Rektangel: avrundede hjørner 6">
          <a:extLst>
            <a:ext uri="{FF2B5EF4-FFF2-40B4-BE49-F238E27FC236}">
              <a16:creationId xmlns:a16="http://schemas.microsoft.com/office/drawing/2014/main" id="{A368AD7A-D79D-48A7-80B2-DFB515EA1D5C}"/>
            </a:ext>
          </a:extLst>
        </xdr:cNvPr>
        <xdr:cNvSpPr/>
      </xdr:nvSpPr>
      <xdr:spPr>
        <a:xfrm>
          <a:off x="3810000" y="2857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Hjulutrustning</a:t>
          </a:r>
        </a:p>
      </xdr:txBody>
    </xdr:sp>
    <xdr:clientData/>
  </xdr:twoCellAnchor>
  <xdr:twoCellAnchor>
    <xdr:from>
      <xdr:col>5</xdr:col>
      <xdr:colOff>0</xdr:colOff>
      <xdr:row>23</xdr:row>
      <xdr:rowOff>0</xdr:rowOff>
    </xdr:from>
    <xdr:to>
      <xdr:col>7</xdr:col>
      <xdr:colOff>51289</xdr:colOff>
      <xdr:row>25</xdr:row>
      <xdr:rowOff>153866</xdr:rowOff>
    </xdr:to>
    <xdr:sp macro="" textlink="">
      <xdr:nvSpPr>
        <xdr:cNvPr id="9" name="Rektangel: avrundede hjørner 8">
          <a:extLst>
            <a:ext uri="{FF2B5EF4-FFF2-40B4-BE49-F238E27FC236}">
              <a16:creationId xmlns:a16="http://schemas.microsoft.com/office/drawing/2014/main" id="{EB914949-3BC0-4708-B535-F26D7912D5B5}"/>
            </a:ext>
          </a:extLst>
        </xdr:cNvPr>
        <xdr:cNvSpPr/>
      </xdr:nvSpPr>
      <xdr:spPr>
        <a:xfrm>
          <a:off x="3810000" y="4381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Lønn</a:t>
          </a:r>
        </a:p>
      </xdr:txBody>
    </xdr:sp>
    <xdr:clientData/>
  </xdr:twoCellAnchor>
  <xdr:twoCellAnchor>
    <xdr:from>
      <xdr:col>5</xdr:col>
      <xdr:colOff>0</xdr:colOff>
      <xdr:row>35</xdr:row>
      <xdr:rowOff>0</xdr:rowOff>
    </xdr:from>
    <xdr:to>
      <xdr:col>8</xdr:col>
      <xdr:colOff>66675</xdr:colOff>
      <xdr:row>37</xdr:row>
      <xdr:rowOff>153866</xdr:rowOff>
    </xdr:to>
    <xdr:sp macro="" textlink="">
      <xdr:nvSpPr>
        <xdr:cNvPr id="10" name="Rektangel: avrundede hjørner 9">
          <a:extLst>
            <a:ext uri="{FF2B5EF4-FFF2-40B4-BE49-F238E27FC236}">
              <a16:creationId xmlns:a16="http://schemas.microsoft.com/office/drawing/2014/main" id="{FB2DD288-72F8-49E2-B40E-E2CA1F303CF6}"/>
            </a:ext>
          </a:extLst>
        </xdr:cNvPr>
        <xdr:cNvSpPr/>
      </xdr:nvSpPr>
      <xdr:spPr>
        <a:xfrm>
          <a:off x="3810000" y="6667500"/>
          <a:ext cx="2352675"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olje og diesel</a:t>
          </a:r>
        </a:p>
      </xdr:txBody>
    </xdr:sp>
    <xdr:clientData/>
  </xdr:twoCellAnchor>
  <xdr:twoCellAnchor>
    <xdr:from>
      <xdr:col>9</xdr:col>
      <xdr:colOff>0</xdr:colOff>
      <xdr:row>34</xdr:row>
      <xdr:rowOff>0</xdr:rowOff>
    </xdr:from>
    <xdr:to>
      <xdr:col>15</xdr:col>
      <xdr:colOff>552450</xdr:colOff>
      <xdr:row>36</xdr:row>
      <xdr:rowOff>153866</xdr:rowOff>
    </xdr:to>
    <xdr:sp macro="" textlink="">
      <xdr:nvSpPr>
        <xdr:cNvPr id="11" name="Rektangel: avrundede hjørner 10">
          <a:extLst>
            <a:ext uri="{FF2B5EF4-FFF2-40B4-BE49-F238E27FC236}">
              <a16:creationId xmlns:a16="http://schemas.microsoft.com/office/drawing/2014/main" id="{A9D997E4-751C-4DDF-A350-4C7AB684E0CE}"/>
            </a:ext>
          </a:extLst>
        </xdr:cNvPr>
        <xdr:cNvSpPr/>
      </xdr:nvSpPr>
      <xdr:spPr>
        <a:xfrm>
          <a:off x="6858000" y="6477000"/>
          <a:ext cx="51244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arbeidstøy og personlig utstyr</a:t>
          </a:r>
        </a:p>
      </xdr:txBody>
    </xdr:sp>
    <xdr:clientData/>
  </xdr:twoCellAnchor>
  <xdr:twoCellAnchor>
    <xdr:from>
      <xdr:col>10</xdr:col>
      <xdr:colOff>0</xdr:colOff>
      <xdr:row>41</xdr:row>
      <xdr:rowOff>0</xdr:rowOff>
    </xdr:from>
    <xdr:to>
      <xdr:col>12</xdr:col>
      <xdr:colOff>51289</xdr:colOff>
      <xdr:row>43</xdr:row>
      <xdr:rowOff>153866</xdr:rowOff>
    </xdr:to>
    <xdr:sp macro="" textlink="">
      <xdr:nvSpPr>
        <xdr:cNvPr id="13" name="Rektangel: avrundede hjørner 12">
          <a:extLst>
            <a:ext uri="{FF2B5EF4-FFF2-40B4-BE49-F238E27FC236}">
              <a16:creationId xmlns:a16="http://schemas.microsoft.com/office/drawing/2014/main" id="{580188AF-5BD9-4CE5-8B1C-FF08FD04A961}"/>
            </a:ext>
          </a:extLst>
        </xdr:cNvPr>
        <xdr:cNvSpPr/>
      </xdr:nvSpPr>
      <xdr:spPr>
        <a:xfrm>
          <a:off x="7620000" y="7810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arbeidsbil</a:t>
          </a:r>
        </a:p>
      </xdr:txBody>
    </xdr:sp>
    <xdr:clientData/>
  </xdr:twoCellAnchor>
  <xdr:twoCellAnchor>
    <xdr:from>
      <xdr:col>13</xdr:col>
      <xdr:colOff>0</xdr:colOff>
      <xdr:row>44</xdr:row>
      <xdr:rowOff>0</xdr:rowOff>
    </xdr:from>
    <xdr:to>
      <xdr:col>15</xdr:col>
      <xdr:colOff>51289</xdr:colOff>
      <xdr:row>46</xdr:row>
      <xdr:rowOff>153866</xdr:rowOff>
    </xdr:to>
    <xdr:sp macro="" textlink="">
      <xdr:nvSpPr>
        <xdr:cNvPr id="15" name="Rektangel: avrundede hjørner 14">
          <a:extLst>
            <a:ext uri="{FF2B5EF4-FFF2-40B4-BE49-F238E27FC236}">
              <a16:creationId xmlns:a16="http://schemas.microsoft.com/office/drawing/2014/main" id="{46BA3853-6289-4729-9B0A-F06F15B57DBA}"/>
            </a:ext>
          </a:extLst>
        </xdr:cNvPr>
        <xdr:cNvSpPr/>
      </xdr:nvSpPr>
      <xdr:spPr>
        <a:xfrm>
          <a:off x="9906000" y="83820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flytting</a:t>
          </a:r>
        </a:p>
      </xdr:txBody>
    </xdr:sp>
    <xdr:clientData/>
  </xdr:twoCellAnchor>
  <xdr:twoCellAnchor>
    <xdr:from>
      <xdr:col>11</xdr:col>
      <xdr:colOff>0</xdr:colOff>
      <xdr:row>25</xdr:row>
      <xdr:rowOff>0</xdr:rowOff>
    </xdr:from>
    <xdr:to>
      <xdr:col>14</xdr:col>
      <xdr:colOff>476250</xdr:colOff>
      <xdr:row>27</xdr:row>
      <xdr:rowOff>153866</xdr:rowOff>
    </xdr:to>
    <xdr:sp macro="" textlink="">
      <xdr:nvSpPr>
        <xdr:cNvPr id="16" name="Rektangel: avrundede hjørner 15">
          <a:extLst>
            <a:ext uri="{FF2B5EF4-FFF2-40B4-BE49-F238E27FC236}">
              <a16:creationId xmlns:a16="http://schemas.microsoft.com/office/drawing/2014/main" id="{7D2B82A8-D5BE-4FFD-95E5-6A5444B03A28}"/>
            </a:ext>
          </a:extLst>
        </xdr:cNvPr>
        <xdr:cNvSpPr/>
      </xdr:nvSpPr>
      <xdr:spPr>
        <a:xfrm>
          <a:off x="8382000" y="4762500"/>
          <a:ext cx="27622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Forsikring</a:t>
          </a:r>
        </a:p>
      </xdr:txBody>
    </xdr:sp>
    <xdr:clientData/>
  </xdr:twoCellAnchor>
  <xdr:twoCellAnchor>
    <xdr:from>
      <xdr:col>10</xdr:col>
      <xdr:colOff>0</xdr:colOff>
      <xdr:row>29</xdr:row>
      <xdr:rowOff>0</xdr:rowOff>
    </xdr:from>
    <xdr:to>
      <xdr:col>12</xdr:col>
      <xdr:colOff>51289</xdr:colOff>
      <xdr:row>31</xdr:row>
      <xdr:rowOff>153866</xdr:rowOff>
    </xdr:to>
    <xdr:sp macro="" textlink="">
      <xdr:nvSpPr>
        <xdr:cNvPr id="18" name="Rektangel: avrundede hjørner 17">
          <a:extLst>
            <a:ext uri="{FF2B5EF4-FFF2-40B4-BE49-F238E27FC236}">
              <a16:creationId xmlns:a16="http://schemas.microsoft.com/office/drawing/2014/main" id="{9AC6A8F6-CDE4-4816-B240-1F0484607071}"/>
            </a:ext>
          </a:extLst>
        </xdr:cNvPr>
        <xdr:cNvSpPr/>
      </xdr:nvSpPr>
      <xdr:spPr>
        <a:xfrm>
          <a:off x="7620000" y="5524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Sagutstyr</a:t>
          </a:r>
        </a:p>
      </xdr:txBody>
    </xdr:sp>
    <xdr:clientData/>
  </xdr:twoCellAnchor>
  <xdr:twoCellAnchor>
    <xdr:from>
      <xdr:col>13</xdr:col>
      <xdr:colOff>57150</xdr:colOff>
      <xdr:row>30</xdr:row>
      <xdr:rowOff>57150</xdr:rowOff>
    </xdr:from>
    <xdr:to>
      <xdr:col>15</xdr:col>
      <xdr:colOff>108439</xdr:colOff>
      <xdr:row>33</xdr:row>
      <xdr:rowOff>20516</xdr:rowOff>
    </xdr:to>
    <xdr:sp macro="" textlink="">
      <xdr:nvSpPr>
        <xdr:cNvPr id="19" name="Rektangel: avrundede hjørner 18">
          <a:extLst>
            <a:ext uri="{FF2B5EF4-FFF2-40B4-BE49-F238E27FC236}">
              <a16:creationId xmlns:a16="http://schemas.microsoft.com/office/drawing/2014/main" id="{79A2ED70-CAAB-4971-8768-BA52B7313DEC}"/>
            </a:ext>
          </a:extLst>
        </xdr:cNvPr>
        <xdr:cNvSpPr/>
      </xdr:nvSpPr>
      <xdr:spPr>
        <a:xfrm>
          <a:off x="9963150" y="577215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Service</a:t>
          </a:r>
        </a:p>
      </xdr:txBody>
    </xdr:sp>
    <xdr:clientData/>
  </xdr:twoCellAnchor>
  <xdr:twoCellAnchor>
    <xdr:from>
      <xdr:col>9</xdr:col>
      <xdr:colOff>0</xdr:colOff>
      <xdr:row>14</xdr:row>
      <xdr:rowOff>0</xdr:rowOff>
    </xdr:from>
    <xdr:to>
      <xdr:col>11</xdr:col>
      <xdr:colOff>51289</xdr:colOff>
      <xdr:row>16</xdr:row>
      <xdr:rowOff>153866</xdr:rowOff>
    </xdr:to>
    <xdr:sp macro="" textlink="">
      <xdr:nvSpPr>
        <xdr:cNvPr id="21" name="Rektangel: avrundede hjørner 20">
          <a:extLst>
            <a:ext uri="{FF2B5EF4-FFF2-40B4-BE49-F238E27FC236}">
              <a16:creationId xmlns:a16="http://schemas.microsoft.com/office/drawing/2014/main" id="{77E61C1B-7B6D-4C69-B9B7-4205D06DED52}"/>
            </a:ext>
          </a:extLst>
        </xdr:cNvPr>
        <xdr:cNvSpPr/>
      </xdr:nvSpPr>
      <xdr:spPr>
        <a:xfrm>
          <a:off x="6858000" y="26670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Reparasjoner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238125</xdr:colOff>
      <xdr:row>1</xdr:row>
      <xdr:rowOff>180975</xdr:rowOff>
    </xdr:from>
    <xdr:to>
      <xdr:col>7</xdr:col>
      <xdr:colOff>924658</xdr:colOff>
      <xdr:row>3</xdr:row>
      <xdr:rowOff>182441</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2B2B2048-5A8C-4049-AE3D-F86E4E97A2DE}"/>
            </a:ext>
          </a:extLst>
        </xdr:cNvPr>
        <xdr:cNvSpPr/>
      </xdr:nvSpPr>
      <xdr:spPr>
        <a:xfrm>
          <a:off x="7496175" y="37147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41413</xdr:colOff>
      <xdr:row>1</xdr:row>
      <xdr:rowOff>41414</xdr:rowOff>
    </xdr:from>
    <xdr:to>
      <xdr:col>7</xdr:col>
      <xdr:colOff>165971</xdr:colOff>
      <xdr:row>3</xdr:row>
      <xdr:rowOff>120737</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E89C303E-F7F8-49EC-84E8-FDF76BDF4A09}"/>
            </a:ext>
          </a:extLst>
        </xdr:cNvPr>
        <xdr:cNvSpPr/>
      </xdr:nvSpPr>
      <xdr:spPr>
        <a:xfrm>
          <a:off x="4580283" y="231914"/>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6</xdr:row>
      <xdr:rowOff>85725</xdr:rowOff>
    </xdr:from>
    <xdr:to>
      <xdr:col>3</xdr:col>
      <xdr:colOff>1600200</xdr:colOff>
      <xdr:row>14</xdr:row>
      <xdr:rowOff>142875</xdr:rowOff>
    </xdr:to>
    <xdr:sp macro="" textlink="">
      <xdr:nvSpPr>
        <xdr:cNvPr id="2" name="Rektangel: avrundede hjørner 1">
          <a:extLst>
            <a:ext uri="{FF2B5EF4-FFF2-40B4-BE49-F238E27FC236}">
              <a16:creationId xmlns:a16="http://schemas.microsoft.com/office/drawing/2014/main" id="{79AD4115-6687-139B-8EC7-FA2D55BB009C}"/>
            </a:ext>
          </a:extLst>
        </xdr:cNvPr>
        <xdr:cNvSpPr/>
      </xdr:nvSpPr>
      <xdr:spPr>
        <a:xfrm>
          <a:off x="257175" y="1733550"/>
          <a:ext cx="3629025" cy="1581150"/>
        </a:xfrm>
        <a:prstGeom prst="roundRect">
          <a:avLst/>
        </a:prstGeom>
        <a:solidFill>
          <a:schemeClr val="accent6">
            <a:lumMod val="75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nb-NO" sz="1400" b="1"/>
            <a:t>NB!</a:t>
          </a:r>
          <a:br>
            <a:rPr lang="nb-NO" sz="1400" b="1"/>
          </a:br>
          <a:endParaRPr lang="nb-NO" sz="1400" b="1"/>
        </a:p>
        <a:p>
          <a:pPr algn="l"/>
          <a:r>
            <a:rPr lang="nb-NO" sz="1400"/>
            <a:t>Husk</a:t>
          </a:r>
          <a:r>
            <a:rPr lang="nb-NO" sz="1400" baseline="0"/>
            <a:t> at oljene som inngår i eventuell serviceavtale ikke </a:t>
          </a:r>
          <a:r>
            <a:rPr lang="nb-NO" sz="1400" b="1" baseline="0"/>
            <a:t>både </a:t>
          </a:r>
          <a:r>
            <a:rPr lang="nb-NO" sz="1400" baseline="0"/>
            <a:t>kan føres her og under fanen "Oljer"</a:t>
          </a:r>
          <a:endParaRPr lang="nb-NO" sz="1400"/>
        </a:p>
      </xdr:txBody>
    </xdr:sp>
    <xdr:clientData/>
  </xdr:twoCellAnchor>
  <xdr:twoCellAnchor>
    <xdr:from>
      <xdr:col>5</xdr:col>
      <xdr:colOff>0</xdr:colOff>
      <xdr:row>1</xdr:row>
      <xdr:rowOff>0</xdr:rowOff>
    </xdr:from>
    <xdr:to>
      <xdr:col>7</xdr:col>
      <xdr:colOff>124558</xdr:colOff>
      <xdr:row>3</xdr:row>
      <xdr:rowOff>87191</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2914DD54-9F32-4225-A441-209CF52B3332}"/>
            </a:ext>
          </a:extLst>
        </xdr:cNvPr>
        <xdr:cNvSpPr/>
      </xdr:nvSpPr>
      <xdr:spPr>
        <a:xfrm>
          <a:off x="5400675" y="1905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2381250</xdr:colOff>
      <xdr:row>7</xdr:row>
      <xdr:rowOff>0</xdr:rowOff>
    </xdr:from>
    <xdr:to>
      <xdr:col>2</xdr:col>
      <xdr:colOff>1676400</xdr:colOff>
      <xdr:row>15</xdr:row>
      <xdr:rowOff>114300</xdr:rowOff>
    </xdr:to>
    <xdr:sp macro="" textlink="">
      <xdr:nvSpPr>
        <xdr:cNvPr id="2" name="Rektangel: avrundede hjørner 1">
          <a:extLst>
            <a:ext uri="{FF2B5EF4-FFF2-40B4-BE49-F238E27FC236}">
              <a16:creationId xmlns:a16="http://schemas.microsoft.com/office/drawing/2014/main" id="{191BFF8D-C292-4605-90A1-9CD19CF4CF7E}"/>
            </a:ext>
          </a:extLst>
        </xdr:cNvPr>
        <xdr:cNvSpPr/>
      </xdr:nvSpPr>
      <xdr:spPr>
        <a:xfrm>
          <a:off x="2381250" y="1809750"/>
          <a:ext cx="2752725" cy="1638300"/>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nb-NO" sz="1400" b="1"/>
            <a:t>NB!</a:t>
          </a:r>
          <a:br>
            <a:rPr lang="nb-NO" sz="1400" b="1"/>
          </a:br>
          <a:endParaRPr lang="nb-NO" sz="1400" b="1"/>
        </a:p>
        <a:p>
          <a:pPr algn="l"/>
          <a:r>
            <a:rPr lang="nb-NO" sz="1400"/>
            <a:t>Kostnader som blir dekket av forsikringen må ikke føres her. </a:t>
          </a:r>
        </a:p>
        <a:p>
          <a:pPr algn="l"/>
          <a:r>
            <a:rPr lang="nb-NO" sz="1400"/>
            <a:t>Bare egenandelen.</a:t>
          </a:r>
        </a:p>
      </xdr:txBody>
    </xdr:sp>
    <xdr:clientData/>
  </xdr:twoCellAnchor>
  <xdr:twoCellAnchor>
    <xdr:from>
      <xdr:col>3</xdr:col>
      <xdr:colOff>314325</xdr:colOff>
      <xdr:row>0</xdr:row>
      <xdr:rowOff>47625</xdr:rowOff>
    </xdr:from>
    <xdr:to>
      <xdr:col>5</xdr:col>
      <xdr:colOff>438883</xdr:colOff>
      <xdr:row>3</xdr:row>
      <xdr:rowOff>10991</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A60A888B-98E6-4459-A327-3823EFD2C70F}"/>
            </a:ext>
          </a:extLst>
        </xdr:cNvPr>
        <xdr:cNvSpPr/>
      </xdr:nvSpPr>
      <xdr:spPr>
        <a:xfrm>
          <a:off x="5819775" y="4762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62865</xdr:colOff>
      <xdr:row>34</xdr:row>
      <xdr:rowOff>30480</xdr:rowOff>
    </xdr:from>
    <xdr:to>
      <xdr:col>11</xdr:col>
      <xdr:colOff>596265</xdr:colOff>
      <xdr:row>49</xdr:row>
      <xdr:rowOff>30480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16</xdr:row>
      <xdr:rowOff>5714</xdr:rowOff>
    </xdr:from>
    <xdr:to>
      <xdr:col>11</xdr:col>
      <xdr:colOff>681691</xdr:colOff>
      <xdr:row>37</xdr:row>
      <xdr:rowOff>18676</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644338</xdr:colOff>
      <xdr:row>6</xdr:row>
      <xdr:rowOff>224117</xdr:rowOff>
    </xdr:from>
    <xdr:to>
      <xdr:col>17</xdr:col>
      <xdr:colOff>121397</xdr:colOff>
      <xdr:row>7</xdr:row>
      <xdr:rowOff>264057</xdr:rowOff>
    </xdr:to>
    <xdr:sp macro="" textlink="">
      <xdr:nvSpPr>
        <xdr:cNvPr id="3" name="Rektangel: avrundede hjørner 2">
          <a:hlinkClick xmlns:r="http://schemas.openxmlformats.org/officeDocument/2006/relationships" r:id="rId2"/>
          <a:extLst>
            <a:ext uri="{FF2B5EF4-FFF2-40B4-BE49-F238E27FC236}">
              <a16:creationId xmlns:a16="http://schemas.microsoft.com/office/drawing/2014/main" id="{93718994-FE3A-40C4-A1F7-7D4DAAB7418E}"/>
            </a:ext>
          </a:extLst>
        </xdr:cNvPr>
        <xdr:cNvSpPr/>
      </xdr:nvSpPr>
      <xdr:spPr>
        <a:xfrm>
          <a:off x="10916397" y="691029"/>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Kapitalkostnader</a:t>
          </a:r>
        </a:p>
      </xdr:txBody>
    </xdr:sp>
    <xdr:clientData/>
  </xdr:twoCellAnchor>
  <xdr:twoCellAnchor>
    <xdr:from>
      <xdr:col>12</xdr:col>
      <xdr:colOff>663017</xdr:colOff>
      <xdr:row>8</xdr:row>
      <xdr:rowOff>18676</xdr:rowOff>
    </xdr:from>
    <xdr:to>
      <xdr:col>17</xdr:col>
      <xdr:colOff>140076</xdr:colOff>
      <xdr:row>8</xdr:row>
      <xdr:rowOff>553542</xdr:rowOff>
    </xdr:to>
    <xdr:sp macro="" textlink="">
      <xdr:nvSpPr>
        <xdr:cNvPr id="5" name="Rektangel: avrundede hjørner 4">
          <a:hlinkClick xmlns:r="http://schemas.openxmlformats.org/officeDocument/2006/relationships" r:id="rId3"/>
          <a:extLst>
            <a:ext uri="{FF2B5EF4-FFF2-40B4-BE49-F238E27FC236}">
              <a16:creationId xmlns:a16="http://schemas.microsoft.com/office/drawing/2014/main" id="{9CEF33D4-F6BF-47D1-89E7-0BEE5743676A}"/>
            </a:ext>
          </a:extLst>
        </xdr:cNvPr>
        <xdr:cNvSpPr/>
      </xdr:nvSpPr>
      <xdr:spPr>
        <a:xfrm>
          <a:off x="10935076" y="1363382"/>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Hjulutrustning</a:t>
          </a:r>
        </a:p>
      </xdr:txBody>
    </xdr:sp>
    <xdr:clientData/>
  </xdr:twoCellAnchor>
  <xdr:twoCellAnchor>
    <xdr:from>
      <xdr:col>12</xdr:col>
      <xdr:colOff>663017</xdr:colOff>
      <xdr:row>9</xdr:row>
      <xdr:rowOff>74704</xdr:rowOff>
    </xdr:from>
    <xdr:to>
      <xdr:col>17</xdr:col>
      <xdr:colOff>140076</xdr:colOff>
      <xdr:row>9</xdr:row>
      <xdr:rowOff>609570</xdr:rowOff>
    </xdr:to>
    <xdr:sp macro="" textlink="">
      <xdr:nvSpPr>
        <xdr:cNvPr id="6" name="Rektangel: avrundede hjørner 5">
          <a:hlinkClick xmlns:r="http://schemas.openxmlformats.org/officeDocument/2006/relationships" r:id="rId4"/>
          <a:extLst>
            <a:ext uri="{FF2B5EF4-FFF2-40B4-BE49-F238E27FC236}">
              <a16:creationId xmlns:a16="http://schemas.microsoft.com/office/drawing/2014/main" id="{F8851FE9-F35D-4877-BDA5-946939BD77BF}"/>
            </a:ext>
          </a:extLst>
        </xdr:cNvPr>
        <xdr:cNvSpPr/>
      </xdr:nvSpPr>
      <xdr:spPr>
        <a:xfrm>
          <a:off x="10935076" y="2054410"/>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Lønn</a:t>
          </a:r>
        </a:p>
      </xdr:txBody>
    </xdr:sp>
    <xdr:clientData/>
  </xdr:twoCellAnchor>
  <xdr:twoCellAnchor>
    <xdr:from>
      <xdr:col>12</xdr:col>
      <xdr:colOff>663017</xdr:colOff>
      <xdr:row>10</xdr:row>
      <xdr:rowOff>28014</xdr:rowOff>
    </xdr:from>
    <xdr:to>
      <xdr:col>17</xdr:col>
      <xdr:colOff>140076</xdr:colOff>
      <xdr:row>13</xdr:row>
      <xdr:rowOff>2586</xdr:rowOff>
    </xdr:to>
    <xdr:sp macro="" textlink="">
      <xdr:nvSpPr>
        <xdr:cNvPr id="7" name="Rektangel: avrundede hjørner 6">
          <a:hlinkClick xmlns:r="http://schemas.openxmlformats.org/officeDocument/2006/relationships" r:id="rId5"/>
          <a:extLst>
            <a:ext uri="{FF2B5EF4-FFF2-40B4-BE49-F238E27FC236}">
              <a16:creationId xmlns:a16="http://schemas.microsoft.com/office/drawing/2014/main" id="{43BEFB7C-4559-4DA1-A7D9-7D49A119D7C5}"/>
            </a:ext>
          </a:extLst>
        </xdr:cNvPr>
        <xdr:cNvSpPr/>
      </xdr:nvSpPr>
      <xdr:spPr>
        <a:xfrm>
          <a:off x="10935076" y="2773455"/>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Adm. / planlegging</a:t>
          </a:r>
        </a:p>
      </xdr:txBody>
    </xdr:sp>
    <xdr:clientData/>
  </xdr:twoCellAnchor>
  <xdr:twoCellAnchor>
    <xdr:from>
      <xdr:col>12</xdr:col>
      <xdr:colOff>681694</xdr:colOff>
      <xdr:row>14</xdr:row>
      <xdr:rowOff>28015</xdr:rowOff>
    </xdr:from>
    <xdr:to>
      <xdr:col>17</xdr:col>
      <xdr:colOff>158753</xdr:colOff>
      <xdr:row>16</xdr:row>
      <xdr:rowOff>189352</xdr:rowOff>
    </xdr:to>
    <xdr:sp macro="" textlink="">
      <xdr:nvSpPr>
        <xdr:cNvPr id="9" name="Rektangel: avrundede hjørner 8">
          <a:hlinkClick xmlns:r="http://schemas.openxmlformats.org/officeDocument/2006/relationships" r:id="rId6"/>
          <a:extLst>
            <a:ext uri="{FF2B5EF4-FFF2-40B4-BE49-F238E27FC236}">
              <a16:creationId xmlns:a16="http://schemas.microsoft.com/office/drawing/2014/main" id="{4686D431-4280-4115-9F56-B6416B5144D8}"/>
            </a:ext>
          </a:extLst>
        </xdr:cNvPr>
        <xdr:cNvSpPr/>
      </xdr:nvSpPr>
      <xdr:spPr>
        <a:xfrm>
          <a:off x="10953753" y="3520515"/>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Oljer og diesel</a:t>
          </a:r>
        </a:p>
      </xdr:txBody>
    </xdr:sp>
    <xdr:clientData/>
  </xdr:twoCellAnchor>
  <xdr:twoCellAnchor>
    <xdr:from>
      <xdr:col>12</xdr:col>
      <xdr:colOff>691032</xdr:colOff>
      <xdr:row>17</xdr:row>
      <xdr:rowOff>186765</xdr:rowOff>
    </xdr:from>
    <xdr:to>
      <xdr:col>19</xdr:col>
      <xdr:colOff>186768</xdr:colOff>
      <xdr:row>20</xdr:row>
      <xdr:rowOff>49278</xdr:rowOff>
    </xdr:to>
    <xdr:sp macro="" textlink="">
      <xdr:nvSpPr>
        <xdr:cNvPr id="11" name="Rektangel: avrundede hjørner 10">
          <a:hlinkClick xmlns:r="http://schemas.openxmlformats.org/officeDocument/2006/relationships" r:id="rId7"/>
          <a:extLst>
            <a:ext uri="{FF2B5EF4-FFF2-40B4-BE49-F238E27FC236}">
              <a16:creationId xmlns:a16="http://schemas.microsoft.com/office/drawing/2014/main" id="{275D3A42-0CDD-434A-AB15-F2DE8441093C}"/>
            </a:ext>
          </a:extLst>
        </xdr:cNvPr>
        <xdr:cNvSpPr/>
      </xdr:nvSpPr>
      <xdr:spPr>
        <a:xfrm>
          <a:off x="10963091" y="4276912"/>
          <a:ext cx="4855883"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Arbeidstøy og personlig utstyr</a:t>
          </a:r>
        </a:p>
      </xdr:txBody>
    </xdr:sp>
    <xdr:clientData/>
  </xdr:twoCellAnchor>
  <xdr:twoCellAnchor>
    <xdr:from>
      <xdr:col>12</xdr:col>
      <xdr:colOff>624169</xdr:colOff>
      <xdr:row>21</xdr:row>
      <xdr:rowOff>84050</xdr:rowOff>
    </xdr:from>
    <xdr:to>
      <xdr:col>17</xdr:col>
      <xdr:colOff>177428</xdr:colOff>
      <xdr:row>23</xdr:row>
      <xdr:rowOff>170681</xdr:rowOff>
    </xdr:to>
    <xdr:sp macro="" textlink="">
      <xdr:nvSpPr>
        <xdr:cNvPr id="12" name="Rektangel: avrundede hjørner 11">
          <a:hlinkClick xmlns:r="http://schemas.openxmlformats.org/officeDocument/2006/relationships" r:id="rId8"/>
          <a:extLst>
            <a:ext uri="{FF2B5EF4-FFF2-40B4-BE49-F238E27FC236}">
              <a16:creationId xmlns:a16="http://schemas.microsoft.com/office/drawing/2014/main" id="{36875774-D920-40C2-B051-5A507FA418BC}"/>
            </a:ext>
          </a:extLst>
        </xdr:cNvPr>
        <xdr:cNvSpPr/>
      </xdr:nvSpPr>
      <xdr:spPr>
        <a:xfrm>
          <a:off x="10924243" y="5472212"/>
          <a:ext cx="3241861"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Arbeidsbil</a:t>
          </a:r>
        </a:p>
      </xdr:txBody>
    </xdr:sp>
    <xdr:clientData/>
  </xdr:twoCellAnchor>
  <xdr:twoCellAnchor>
    <xdr:from>
      <xdr:col>12</xdr:col>
      <xdr:colOff>624169</xdr:colOff>
      <xdr:row>24</xdr:row>
      <xdr:rowOff>140081</xdr:rowOff>
    </xdr:from>
    <xdr:to>
      <xdr:col>17</xdr:col>
      <xdr:colOff>177428</xdr:colOff>
      <xdr:row>27</xdr:row>
      <xdr:rowOff>2594</xdr:rowOff>
    </xdr:to>
    <xdr:sp macro="" textlink="">
      <xdr:nvSpPr>
        <xdr:cNvPr id="13" name="Rektangel: avrundede hjørner 12">
          <a:hlinkClick xmlns:r="http://schemas.openxmlformats.org/officeDocument/2006/relationships" r:id="rId9"/>
          <a:extLst>
            <a:ext uri="{FF2B5EF4-FFF2-40B4-BE49-F238E27FC236}">
              <a16:creationId xmlns:a16="http://schemas.microsoft.com/office/drawing/2014/main" id="{9A0FF573-89B8-4393-A956-65BE72C8D937}"/>
            </a:ext>
          </a:extLst>
        </xdr:cNvPr>
        <xdr:cNvSpPr/>
      </xdr:nvSpPr>
      <xdr:spPr>
        <a:xfrm>
          <a:off x="10924243" y="6200596"/>
          <a:ext cx="3241861"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Flytting</a:t>
          </a:r>
        </a:p>
      </xdr:txBody>
    </xdr:sp>
    <xdr:clientData/>
  </xdr:twoCellAnchor>
  <xdr:twoCellAnchor>
    <xdr:from>
      <xdr:col>13</xdr:col>
      <xdr:colOff>7659</xdr:colOff>
      <xdr:row>27</xdr:row>
      <xdr:rowOff>196108</xdr:rowOff>
    </xdr:from>
    <xdr:to>
      <xdr:col>17</xdr:col>
      <xdr:colOff>196104</xdr:colOff>
      <xdr:row>30</xdr:row>
      <xdr:rowOff>58622</xdr:rowOff>
    </xdr:to>
    <xdr:sp macro="" textlink="">
      <xdr:nvSpPr>
        <xdr:cNvPr id="14" name="Rektangel: avrundede hjørner 13">
          <a:hlinkClick xmlns:r="http://schemas.openxmlformats.org/officeDocument/2006/relationships" r:id="rId10"/>
          <a:extLst>
            <a:ext uri="{FF2B5EF4-FFF2-40B4-BE49-F238E27FC236}">
              <a16:creationId xmlns:a16="http://schemas.microsoft.com/office/drawing/2014/main" id="{3886D490-AAB7-4863-9C0A-C23F6077811C}"/>
            </a:ext>
          </a:extLst>
        </xdr:cNvPr>
        <xdr:cNvSpPr/>
      </xdr:nvSpPr>
      <xdr:spPr>
        <a:xfrm>
          <a:off x="10933394" y="6928976"/>
          <a:ext cx="3251386" cy="534867"/>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Forsikring</a:t>
          </a:r>
        </a:p>
      </xdr:txBody>
    </xdr:sp>
    <xdr:clientData/>
  </xdr:twoCellAnchor>
  <xdr:twoCellAnchor>
    <xdr:from>
      <xdr:col>13</xdr:col>
      <xdr:colOff>7659</xdr:colOff>
      <xdr:row>31</xdr:row>
      <xdr:rowOff>28023</xdr:rowOff>
    </xdr:from>
    <xdr:to>
      <xdr:col>17</xdr:col>
      <xdr:colOff>196104</xdr:colOff>
      <xdr:row>33</xdr:row>
      <xdr:rowOff>114653</xdr:rowOff>
    </xdr:to>
    <xdr:sp macro="" textlink="">
      <xdr:nvSpPr>
        <xdr:cNvPr id="18" name="Rektangel: avrundede hjørner 17">
          <a:hlinkClick xmlns:r="http://schemas.openxmlformats.org/officeDocument/2006/relationships" r:id="rId11"/>
          <a:extLst>
            <a:ext uri="{FF2B5EF4-FFF2-40B4-BE49-F238E27FC236}">
              <a16:creationId xmlns:a16="http://schemas.microsoft.com/office/drawing/2014/main" id="{B1CE99FB-8EF4-4415-98F1-EB30ED07766E}"/>
            </a:ext>
          </a:extLst>
        </xdr:cNvPr>
        <xdr:cNvSpPr/>
      </xdr:nvSpPr>
      <xdr:spPr>
        <a:xfrm>
          <a:off x="10933394" y="7657361"/>
          <a:ext cx="3251386"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Service</a:t>
          </a:r>
        </a:p>
      </xdr:txBody>
    </xdr:sp>
    <xdr:clientData/>
  </xdr:twoCellAnchor>
  <xdr:twoCellAnchor>
    <xdr:from>
      <xdr:col>13</xdr:col>
      <xdr:colOff>7471</xdr:colOff>
      <xdr:row>34</xdr:row>
      <xdr:rowOff>158763</xdr:rowOff>
    </xdr:from>
    <xdr:to>
      <xdr:col>17</xdr:col>
      <xdr:colOff>205442</xdr:colOff>
      <xdr:row>36</xdr:row>
      <xdr:rowOff>77306</xdr:rowOff>
    </xdr:to>
    <xdr:sp macro="" textlink="">
      <xdr:nvSpPr>
        <xdr:cNvPr id="19" name="Rektangel: avrundede hjørner 18">
          <a:hlinkClick xmlns:r="http://schemas.openxmlformats.org/officeDocument/2006/relationships" r:id="rId12"/>
          <a:extLst>
            <a:ext uri="{FF2B5EF4-FFF2-40B4-BE49-F238E27FC236}">
              <a16:creationId xmlns:a16="http://schemas.microsoft.com/office/drawing/2014/main" id="{D0904ED6-C9B2-4143-9262-F9FBCC6F6FB4}"/>
            </a:ext>
          </a:extLst>
        </xdr:cNvPr>
        <xdr:cNvSpPr/>
      </xdr:nvSpPr>
      <xdr:spPr>
        <a:xfrm>
          <a:off x="10933206" y="8357734"/>
          <a:ext cx="3260912" cy="637587"/>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reparasjoner</a:t>
          </a:r>
        </a:p>
      </xdr:txBody>
    </xdr:sp>
    <xdr:clientData/>
  </xdr:twoCellAnchor>
  <xdr:twoCellAnchor>
    <xdr:from>
      <xdr:col>6</xdr:col>
      <xdr:colOff>349250</xdr:colOff>
      <xdr:row>40</xdr:row>
      <xdr:rowOff>12700</xdr:rowOff>
    </xdr:from>
    <xdr:to>
      <xdr:col>8</xdr:col>
      <xdr:colOff>349250</xdr:colOff>
      <xdr:row>41</xdr:row>
      <xdr:rowOff>6350</xdr:rowOff>
    </xdr:to>
    <xdr:sp macro="" textlink="">
      <xdr:nvSpPr>
        <xdr:cNvPr id="4" name="TekstSylinder 3">
          <a:hlinkClick xmlns:r="http://schemas.openxmlformats.org/officeDocument/2006/relationships" r:id="rId13"/>
          <a:extLst>
            <a:ext uri="{FF2B5EF4-FFF2-40B4-BE49-F238E27FC236}">
              <a16:creationId xmlns:a16="http://schemas.microsoft.com/office/drawing/2014/main" id="{B8DD0FA3-8B74-4AB0-95D9-DF28455DB58A}"/>
            </a:ext>
          </a:extLst>
        </xdr:cNvPr>
        <xdr:cNvSpPr txBox="1"/>
      </xdr:nvSpPr>
      <xdr:spPr>
        <a:xfrm>
          <a:off x="3140075" y="6280150"/>
          <a:ext cx="1571625"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16</xdr:col>
      <xdr:colOff>711970</xdr:colOff>
      <xdr:row>39</xdr:row>
      <xdr:rowOff>28865</xdr:rowOff>
    </xdr:from>
    <xdr:to>
      <xdr:col>18</xdr:col>
      <xdr:colOff>692728</xdr:colOff>
      <xdr:row>41</xdr:row>
      <xdr:rowOff>125076</xdr:rowOff>
    </xdr:to>
    <xdr:pic>
      <xdr:nvPicPr>
        <xdr:cNvPr id="15" name="Bilde 14">
          <a:extLst>
            <a:ext uri="{FF2B5EF4-FFF2-40B4-BE49-F238E27FC236}">
              <a16:creationId xmlns:a16="http://schemas.microsoft.com/office/drawing/2014/main" id="{B7829EEA-12F3-9FE0-BCBC-D5C89668510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864167" y="9746289"/>
          <a:ext cx="1500909" cy="490681"/>
        </a:xfrm>
        <a:prstGeom prst="rect">
          <a:avLst/>
        </a:prstGeom>
      </xdr:spPr>
    </xdr:pic>
    <xdr:clientData/>
  </xdr:twoCellAnchor>
  <xdr:oneCellAnchor>
    <xdr:from>
      <xdr:col>0</xdr:col>
      <xdr:colOff>355984</xdr:colOff>
      <xdr:row>1</xdr:row>
      <xdr:rowOff>0</xdr:rowOff>
    </xdr:from>
    <xdr:ext cx="804936" cy="804936"/>
    <xdr:pic>
      <xdr:nvPicPr>
        <xdr:cNvPr id="22" name="Bilde 21">
          <a:extLst>
            <a:ext uri="{FF2B5EF4-FFF2-40B4-BE49-F238E27FC236}">
              <a16:creationId xmlns:a16="http://schemas.microsoft.com/office/drawing/2014/main" id="{586AA5B0-7E75-3721-61C8-1D660B5329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55984" y="202045"/>
          <a:ext cx="804936" cy="8049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285750</xdr:colOff>
      <xdr:row>0</xdr:row>
      <xdr:rowOff>241788</xdr:rowOff>
    </xdr:from>
    <xdr:to>
      <xdr:col>7</xdr:col>
      <xdr:colOff>337039</xdr:colOff>
      <xdr:row>3</xdr:row>
      <xdr:rowOff>117231</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054F20DF-0B07-ABD5-39C2-A71D24D50F2A}"/>
            </a:ext>
          </a:extLst>
        </xdr:cNvPr>
        <xdr:cNvSpPr/>
      </xdr:nvSpPr>
      <xdr:spPr>
        <a:xfrm>
          <a:off x="5231423" y="241788"/>
          <a:ext cx="1575289"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twoCellAnchor editAs="oneCell">
    <xdr:from>
      <xdr:col>5</xdr:col>
      <xdr:colOff>622790</xdr:colOff>
      <xdr:row>6</xdr:row>
      <xdr:rowOff>146538</xdr:rowOff>
    </xdr:from>
    <xdr:to>
      <xdr:col>14</xdr:col>
      <xdr:colOff>712426</xdr:colOff>
      <xdr:row>34</xdr:row>
      <xdr:rowOff>26871</xdr:rowOff>
    </xdr:to>
    <xdr:pic>
      <xdr:nvPicPr>
        <xdr:cNvPr id="3" name="Bilde 2">
          <a:extLst>
            <a:ext uri="{FF2B5EF4-FFF2-40B4-BE49-F238E27FC236}">
              <a16:creationId xmlns:a16="http://schemas.microsoft.com/office/drawing/2014/main" id="{2EAC1FAE-D5FE-3B09-166B-E4858996938C}"/>
            </a:ext>
          </a:extLst>
        </xdr:cNvPr>
        <xdr:cNvPicPr>
          <a:picLocks noChangeAspect="1"/>
        </xdr:cNvPicPr>
      </xdr:nvPicPr>
      <xdr:blipFill>
        <a:blip xmlns:r="http://schemas.openxmlformats.org/officeDocument/2006/relationships" r:embed="rId2"/>
        <a:stretch>
          <a:fillRect/>
        </a:stretch>
      </xdr:blipFill>
      <xdr:spPr>
        <a:xfrm>
          <a:off x="5568463" y="1436076"/>
          <a:ext cx="7020905" cy="3543795"/>
        </a:xfrm>
        <a:prstGeom prst="rect">
          <a:avLst/>
        </a:prstGeom>
        <a:ln w="15875">
          <a:solidFill>
            <a:schemeClr val="accent1"/>
          </a:solidFill>
        </a:ln>
        <a:effectLst>
          <a:outerShdw blurRad="50800" dist="38100" dir="2700000" algn="tl" rotWithShape="0">
            <a:srgbClr val="002060">
              <a:alpha val="40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124558</xdr:colOff>
      <xdr:row>4</xdr:row>
      <xdr:rowOff>90366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0DACEA72-956E-42FD-AD2C-0EB2612B065B}"/>
            </a:ext>
          </a:extLst>
        </xdr:cNvPr>
        <xdr:cNvSpPr/>
      </xdr:nvSpPr>
      <xdr:spPr>
        <a:xfrm>
          <a:off x="4847167" y="3810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124558</xdr:colOff>
      <xdr:row>4</xdr:row>
      <xdr:rowOff>84016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E2752D86-DD59-438E-9115-DA4C3051ED17}"/>
            </a:ext>
          </a:extLst>
        </xdr:cNvPr>
        <xdr:cNvSpPr/>
      </xdr:nvSpPr>
      <xdr:spPr>
        <a:xfrm>
          <a:off x="4718050" y="3810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twoCellAnchor>
    <xdr:from>
      <xdr:col>3</xdr:col>
      <xdr:colOff>82550</xdr:colOff>
      <xdr:row>10</xdr:row>
      <xdr:rowOff>107950</xdr:rowOff>
    </xdr:from>
    <xdr:to>
      <xdr:col>3</xdr:col>
      <xdr:colOff>711200</xdr:colOff>
      <xdr:row>10</xdr:row>
      <xdr:rowOff>196854</xdr:rowOff>
    </xdr:to>
    <xdr:sp macro="" textlink="">
      <xdr:nvSpPr>
        <xdr:cNvPr id="3" name="Pil: ned 2">
          <a:extLst>
            <a:ext uri="{FF2B5EF4-FFF2-40B4-BE49-F238E27FC236}">
              <a16:creationId xmlns:a16="http://schemas.microsoft.com/office/drawing/2014/main" id="{407028DB-F91E-2CB2-6538-4A13FFF19354}"/>
            </a:ext>
          </a:extLst>
        </xdr:cNvPr>
        <xdr:cNvSpPr/>
      </xdr:nvSpPr>
      <xdr:spPr>
        <a:xfrm rot="5400000">
          <a:off x="4308473" y="1876427"/>
          <a:ext cx="88904" cy="628650"/>
        </a:xfrm>
        <a:prstGeom prst="downArrow">
          <a:avLst>
            <a:gd name="adj1" fmla="val 50000"/>
            <a:gd name="adj2" fmla="val 47386"/>
          </a:avLst>
        </a:prstGeom>
        <a:solidFill>
          <a:srgbClr val="FF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95249</xdr:colOff>
      <xdr:row>3</xdr:row>
      <xdr:rowOff>66675</xdr:rowOff>
    </xdr:from>
    <xdr:to>
      <xdr:col>9</xdr:col>
      <xdr:colOff>276224</xdr:colOff>
      <xdr:row>12</xdr:row>
      <xdr:rowOff>9525</xdr:rowOff>
    </xdr:to>
    <xdr:sp macro="" textlink="">
      <xdr:nvSpPr>
        <xdr:cNvPr id="4" name="Rektangel: avrundede hjørner 3">
          <a:extLst>
            <a:ext uri="{FF2B5EF4-FFF2-40B4-BE49-F238E27FC236}">
              <a16:creationId xmlns:a16="http://schemas.microsoft.com/office/drawing/2014/main" id="{5B3724B6-BB4B-C371-2C91-324DA954E16A}"/>
            </a:ext>
          </a:extLst>
        </xdr:cNvPr>
        <xdr:cNvSpPr/>
      </xdr:nvSpPr>
      <xdr:spPr>
        <a:xfrm>
          <a:off x="5638799" y="704850"/>
          <a:ext cx="3228975" cy="17240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200"/>
            <a:t>Noen entreprenører eier lokaler, mens andre leier og nå ender helt uten. I våre forutsetninger setter det en husleie og en strømkostnad per år.</a:t>
          </a:r>
        </a:p>
        <a:p>
          <a:pPr algn="l"/>
          <a:r>
            <a:rPr lang="nb-NO" sz="1200"/>
            <a:t>Kontormedarbeideren forutsettes brukt til å</a:t>
          </a:r>
          <a:r>
            <a:rPr lang="nb-NO" sz="1200" baseline="0"/>
            <a:t> drifte bedriftens systemer og rapportering, men ikke til utendørs driftsplanlegging.</a:t>
          </a:r>
          <a:r>
            <a:rPr lang="nb-NO" sz="1200"/>
            <a:t> </a:t>
          </a:r>
        </a:p>
      </xdr:txBody>
    </xdr:sp>
    <xdr:clientData/>
  </xdr:twoCellAnchor>
  <xdr:twoCellAnchor>
    <xdr:from>
      <xdr:col>5</xdr:col>
      <xdr:colOff>95249</xdr:colOff>
      <xdr:row>14</xdr:row>
      <xdr:rowOff>38099</xdr:rowOff>
    </xdr:from>
    <xdr:to>
      <xdr:col>9</xdr:col>
      <xdr:colOff>180974</xdr:colOff>
      <xdr:row>24</xdr:row>
      <xdr:rowOff>161925</xdr:rowOff>
    </xdr:to>
    <xdr:sp macro="" textlink="">
      <xdr:nvSpPr>
        <xdr:cNvPr id="6" name="Rektangel: avrundede hjørner 5">
          <a:extLst>
            <a:ext uri="{FF2B5EF4-FFF2-40B4-BE49-F238E27FC236}">
              <a16:creationId xmlns:a16="http://schemas.microsoft.com/office/drawing/2014/main" id="{6EE7A96D-2B17-466D-BDBA-D8FA213CB17D}"/>
            </a:ext>
          </a:extLst>
        </xdr:cNvPr>
        <xdr:cNvSpPr/>
      </xdr:nvSpPr>
      <xdr:spPr>
        <a:xfrm>
          <a:off x="5638799" y="3171824"/>
          <a:ext cx="3133725" cy="2362201"/>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200">
              <a:solidFill>
                <a:schemeClr val="tx1"/>
              </a:solidFill>
            </a:rPr>
            <a:t>Noen entreprenører planlegger driftene selv, eller befarer driftene på forhånd.</a:t>
          </a:r>
        </a:p>
        <a:p>
          <a:pPr algn="l"/>
          <a:endParaRPr lang="nb-NO" sz="1200">
            <a:solidFill>
              <a:schemeClr val="tx1"/>
            </a:solidFill>
          </a:endParaRPr>
        </a:p>
        <a:p>
          <a:pPr algn="l"/>
          <a:r>
            <a:rPr lang="nb-NO" sz="1200">
              <a:solidFill>
                <a:schemeClr val="tx1"/>
              </a:solidFill>
            </a:rPr>
            <a:t>Når driftene planlegges av entreprenøren alene, skal det også produserers driftsinstrukser og kart.</a:t>
          </a:r>
        </a:p>
        <a:p>
          <a:pPr algn="l"/>
          <a:endParaRPr lang="nb-NO" sz="1200">
            <a:solidFill>
              <a:schemeClr val="tx1"/>
            </a:solidFill>
          </a:endParaRPr>
        </a:p>
        <a:p>
          <a:pPr algn="l"/>
          <a:r>
            <a:rPr lang="nb-NO" sz="1200">
              <a:solidFill>
                <a:schemeClr val="tx1"/>
              </a:solidFill>
            </a:rPr>
            <a:t>Det meste av denne kostnaden tillegges hogstmaskinen. Lassbæreren får normalt en mindre andel av denne kostnaden.</a:t>
          </a:r>
        </a:p>
      </xdr:txBody>
    </xdr:sp>
    <xdr:clientData/>
  </xdr:twoCellAnchor>
  <xdr:twoCellAnchor>
    <xdr:from>
      <xdr:col>6</xdr:col>
      <xdr:colOff>685800</xdr:colOff>
      <xdr:row>1</xdr:row>
      <xdr:rowOff>66675</xdr:rowOff>
    </xdr:from>
    <xdr:to>
      <xdr:col>9</xdr:col>
      <xdr:colOff>48358</xdr:colOff>
      <xdr:row>2</xdr:row>
      <xdr:rowOff>142875</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98C01525-06E6-43B8-834B-6E3EBE8D11F6}"/>
            </a:ext>
          </a:extLst>
        </xdr:cNvPr>
        <xdr:cNvSpPr/>
      </xdr:nvSpPr>
      <xdr:spPr>
        <a:xfrm>
          <a:off x="6991350" y="257175"/>
          <a:ext cx="1648558" cy="600075"/>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647700</xdr:colOff>
      <xdr:row>8</xdr:row>
      <xdr:rowOff>161925</xdr:rowOff>
    </xdr:from>
    <xdr:to>
      <xdr:col>9</xdr:col>
      <xdr:colOff>714375</xdr:colOff>
      <xdr:row>20</xdr:row>
      <xdr:rowOff>66675</xdr:rowOff>
    </xdr:to>
    <xdr:sp macro="" textlink="">
      <xdr:nvSpPr>
        <xdr:cNvPr id="2" name="Rektangel: avrundede hjørner 1">
          <a:extLst>
            <a:ext uri="{FF2B5EF4-FFF2-40B4-BE49-F238E27FC236}">
              <a16:creationId xmlns:a16="http://schemas.microsoft.com/office/drawing/2014/main" id="{4F6CC70F-F35E-02ED-8D0D-EE94847E68AF}"/>
            </a:ext>
          </a:extLst>
        </xdr:cNvPr>
        <xdr:cNvSpPr/>
      </xdr:nvSpPr>
      <xdr:spPr>
        <a:xfrm>
          <a:off x="4981575" y="1857375"/>
          <a:ext cx="3114675" cy="21907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t>Tilfeldig spurt entreprenør:</a:t>
          </a:r>
        </a:p>
        <a:p>
          <a:pPr algn="l"/>
          <a:endParaRPr lang="nb-NO" sz="1100"/>
        </a:p>
        <a:p>
          <a:pPr algn="l"/>
          <a:r>
            <a:rPr lang="nb-NO" sz="1100"/>
            <a:t>DIESEL</a:t>
          </a:r>
          <a:br>
            <a:rPr lang="nb-NO" sz="1100"/>
          </a:br>
          <a:r>
            <a:rPr lang="nb-NO" sz="1100"/>
            <a:t>Hogstmaskin 17,1 liter pr time</a:t>
          </a:r>
        </a:p>
        <a:p>
          <a:pPr algn="l"/>
          <a:r>
            <a:rPr lang="nb-NO" sz="1100"/>
            <a:t>Lassbærer 12,7  liter pr time</a:t>
          </a:r>
        </a:p>
        <a:p>
          <a:pPr algn="l"/>
          <a:endParaRPr lang="nb-NO" sz="1100"/>
        </a:p>
        <a:p>
          <a:pPr algn="l"/>
          <a:r>
            <a:rPr lang="nb-NO" sz="1100"/>
            <a:t>AD Blue</a:t>
          </a:r>
        </a:p>
        <a:p>
          <a:pPr algn="l"/>
          <a:r>
            <a:rPr lang="nb-NO" sz="1100"/>
            <a:t>Hogstmaskin 0,88 liter pr time</a:t>
          </a:r>
        </a:p>
        <a:p>
          <a:pPr algn="l"/>
          <a:r>
            <a:rPr lang="nb-NO" sz="1100"/>
            <a:t>Lassbærer 0,51 liter pr time</a:t>
          </a:r>
        </a:p>
        <a:p>
          <a:pPr algn="l"/>
          <a:endParaRPr lang="nb-NO" sz="1100"/>
        </a:p>
        <a:p>
          <a:pPr algn="l"/>
          <a:r>
            <a:rPr lang="nb-NO" sz="1100"/>
            <a:t>  </a:t>
          </a:r>
        </a:p>
      </xdr:txBody>
    </xdr:sp>
    <xdr:clientData/>
  </xdr:twoCellAnchor>
  <xdr:twoCellAnchor>
    <xdr:from>
      <xdr:col>6</xdr:col>
      <xdr:colOff>0</xdr:colOff>
      <xdr:row>2</xdr:row>
      <xdr:rowOff>0</xdr:rowOff>
    </xdr:from>
    <xdr:to>
      <xdr:col>8</xdr:col>
      <xdr:colOff>124558</xdr:colOff>
      <xdr:row>4</xdr:row>
      <xdr:rowOff>115766</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A0D2DC14-1EA7-4449-93FB-9D3256AF4384}"/>
            </a:ext>
          </a:extLst>
        </xdr:cNvPr>
        <xdr:cNvSpPr/>
      </xdr:nvSpPr>
      <xdr:spPr>
        <a:xfrm>
          <a:off x="5095875" y="44767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138148</xdr:colOff>
      <xdr:row>1</xdr:row>
      <xdr:rowOff>0</xdr:rowOff>
    </xdr:from>
    <xdr:to>
      <xdr:col>6</xdr:col>
      <xdr:colOff>259797</xdr:colOff>
      <xdr:row>3</xdr:row>
      <xdr:rowOff>43626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9DCEF464-9543-41A3-8A14-F5C27A446D71}"/>
            </a:ext>
          </a:extLst>
        </xdr:cNvPr>
        <xdr:cNvSpPr/>
      </xdr:nvSpPr>
      <xdr:spPr>
        <a:xfrm>
          <a:off x="3722747" y="189046"/>
          <a:ext cx="1648558" cy="48715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571500</xdr:colOff>
      <xdr:row>0</xdr:row>
      <xdr:rowOff>0</xdr:rowOff>
    </xdr:from>
    <xdr:to>
      <xdr:col>23</xdr:col>
      <xdr:colOff>267827</xdr:colOff>
      <xdr:row>32</xdr:row>
      <xdr:rowOff>134289</xdr:rowOff>
    </xdr:to>
    <xdr:pic>
      <xdr:nvPicPr>
        <xdr:cNvPr id="4" name="Bilde 3">
          <a:extLst>
            <a:ext uri="{FF2B5EF4-FFF2-40B4-BE49-F238E27FC236}">
              <a16:creationId xmlns:a16="http://schemas.microsoft.com/office/drawing/2014/main" id="{F07F5DF2-6E80-D7AC-9A63-E3F2FDDD0ADA}"/>
            </a:ext>
          </a:extLst>
        </xdr:cNvPr>
        <xdr:cNvPicPr>
          <a:picLocks noChangeAspect="1"/>
        </xdr:cNvPicPr>
      </xdr:nvPicPr>
      <xdr:blipFill>
        <a:blip xmlns:r="http://schemas.openxmlformats.org/officeDocument/2006/relationships" r:embed="rId1"/>
        <a:stretch>
          <a:fillRect/>
        </a:stretch>
      </xdr:blipFill>
      <xdr:spPr>
        <a:xfrm>
          <a:off x="10048875" y="0"/>
          <a:ext cx="8078327" cy="6439839"/>
        </a:xfrm>
        <a:prstGeom prst="rect">
          <a:avLst/>
        </a:prstGeom>
      </xdr:spPr>
    </xdr:pic>
    <xdr:clientData/>
  </xdr:twoCellAnchor>
  <xdr:twoCellAnchor>
    <xdr:from>
      <xdr:col>7</xdr:col>
      <xdr:colOff>495300</xdr:colOff>
      <xdr:row>5</xdr:row>
      <xdr:rowOff>95249</xdr:rowOff>
    </xdr:from>
    <xdr:to>
      <xdr:col>11</xdr:col>
      <xdr:colOff>723900</xdr:colOff>
      <xdr:row>15</xdr:row>
      <xdr:rowOff>133349</xdr:rowOff>
    </xdr:to>
    <xdr:sp macro="" textlink="">
      <xdr:nvSpPr>
        <xdr:cNvPr id="3" name="Rektangel: avrundede hjørner 2">
          <a:extLst>
            <a:ext uri="{FF2B5EF4-FFF2-40B4-BE49-F238E27FC236}">
              <a16:creationId xmlns:a16="http://schemas.microsoft.com/office/drawing/2014/main" id="{6ABB2715-3865-DD14-EFAA-4270CB4E3B0D}"/>
            </a:ext>
          </a:extLst>
        </xdr:cNvPr>
        <xdr:cNvSpPr/>
      </xdr:nvSpPr>
      <xdr:spPr>
        <a:xfrm>
          <a:off x="6162675" y="1228724"/>
          <a:ext cx="3276600" cy="22383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400" b="1"/>
            <a:t>Her kan det gjøres ett av to valg:</a:t>
          </a:r>
        </a:p>
        <a:p>
          <a:pPr algn="l"/>
          <a:endParaRPr lang="nb-NO" sz="1400" b="1"/>
        </a:p>
        <a:p>
          <a:pPr algn="l"/>
          <a:r>
            <a:rPr lang="nb-NO" sz="1400">
              <a:solidFill>
                <a:srgbClr val="FF0000"/>
              </a:solidFill>
            </a:rPr>
            <a:t>1. </a:t>
          </a:r>
          <a:r>
            <a:rPr lang="nb-NO" sz="1400"/>
            <a:t>Den eller</a:t>
          </a:r>
          <a:r>
            <a:rPr lang="nb-NO" sz="1400" baseline="0"/>
            <a:t> de som kjører maskina til daglig har firmabil.                                                                                                          </a:t>
          </a:r>
          <a:r>
            <a:rPr lang="nb-NO" sz="1400" baseline="0">
              <a:solidFill>
                <a:srgbClr val="FF0000"/>
              </a:solidFill>
            </a:rPr>
            <a:t>2. </a:t>
          </a:r>
          <a:r>
            <a:rPr lang="nb-NO" sz="1400" baseline="0"/>
            <a:t>Førerne får kjøregodtgjørelse.</a:t>
          </a:r>
        </a:p>
        <a:p>
          <a:pPr algn="l"/>
          <a:endParaRPr lang="nb-NO" sz="1400" baseline="0"/>
        </a:p>
        <a:p>
          <a:pPr algn="l"/>
          <a:r>
            <a:rPr lang="nb-NO" sz="1400" baseline="0"/>
            <a:t>Valget tas i rullegardinmenyen</a:t>
          </a:r>
          <a:endParaRPr lang="nb-NO" sz="1400"/>
        </a:p>
      </xdr:txBody>
    </xdr:sp>
    <xdr:clientData/>
  </xdr:twoCellAnchor>
  <xdr:twoCellAnchor>
    <xdr:from>
      <xdr:col>8</xdr:col>
      <xdr:colOff>257175</xdr:colOff>
      <xdr:row>1</xdr:row>
      <xdr:rowOff>47625</xdr:rowOff>
    </xdr:from>
    <xdr:to>
      <xdr:col>10</xdr:col>
      <xdr:colOff>381733</xdr:colOff>
      <xdr:row>3</xdr:row>
      <xdr:rowOff>30041</xdr:rowOff>
    </xdr:to>
    <xdr:sp macro="" textlink="">
      <xdr:nvSpPr>
        <xdr:cNvPr id="5" name="Rektangel: avrundede hjørner 4">
          <a:hlinkClick xmlns:r="http://schemas.openxmlformats.org/officeDocument/2006/relationships" r:id="rId2"/>
          <a:extLst>
            <a:ext uri="{FF2B5EF4-FFF2-40B4-BE49-F238E27FC236}">
              <a16:creationId xmlns:a16="http://schemas.microsoft.com/office/drawing/2014/main" id="{0ACEEC4F-DDF1-4619-AB6D-3B8DDED49027}"/>
            </a:ext>
          </a:extLst>
        </xdr:cNvPr>
        <xdr:cNvSpPr/>
      </xdr:nvSpPr>
      <xdr:spPr>
        <a:xfrm>
          <a:off x="6686550" y="23812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thor-heldal.no/leasing-kalkulato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danskebank.no/nyheter/tips-og-raad-til-din-bedrift/kjoepe-eller-lease%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2B&#248;r%20bedrifter%20lease%20eller%20kj&#248;pe%20firmabil%20og%20utstyr?%22" TargetMode="External"/><Relationship Id="rId7" Type="http://schemas.openxmlformats.org/officeDocument/2006/relationships/comments" Target="../comments6.xml"/><Relationship Id="rId2" Type="http://schemas.openxmlformats.org/officeDocument/2006/relationships/hyperlink" Target="https://danskebank.no/bedrift/produkter-og-tjenester/finansiering/leasing?gclid=25c83108625d147a8f8e54327a21cc14&amp;gclsrc=3p.ds&amp;utm_source=bing&amp;utm_medium=cpc&amp;utm_campaign=Business.Leasing.Prospecting.Phrase&amp;utm_term=firmabil%20leasing&amp;utm_content=Firmabil%20%7C%C2%A0Phrase" TargetMode="External"/><Relationship Id="rId1" Type="http://schemas.openxmlformats.org/officeDocument/2006/relationships/hyperlink" Target="https://danskebank.no/nyheter/tips-og-raad-til-din-bedrift/kjoepe-eller-lease" TargetMode="External"/><Relationship Id="rId6" Type="http://schemas.openxmlformats.org/officeDocument/2006/relationships/vmlDrawing" Target="../drawings/vmlDrawing6.vml"/><Relationship Id="rId5" Type="http://schemas.openxmlformats.org/officeDocument/2006/relationships/drawing" Target="../drawings/drawing9.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9E03-90A4-426B-A856-00B1A6DA05F1}">
  <sheetPr>
    <tabColor rgb="FFFFC000"/>
  </sheetPr>
  <dimension ref="A1"/>
  <sheetViews>
    <sheetView topLeftCell="A13" workbookViewId="0">
      <selection activeCell="C30" sqref="C30"/>
    </sheetView>
  </sheetViews>
  <sheetFormatPr baseColWidth="10" defaultColWidth="11.425781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4512-B6C0-44F9-BE1A-F89904D32A78}">
  <sheetPr>
    <tabColor rgb="FFFF0000"/>
  </sheetPr>
  <dimension ref="A2:I47"/>
  <sheetViews>
    <sheetView workbookViewId="0">
      <selection activeCell="K15" sqref="K15"/>
    </sheetView>
  </sheetViews>
  <sheetFormatPr baseColWidth="10" defaultColWidth="11.42578125" defaultRowHeight="15"/>
  <cols>
    <col min="1" max="1" width="10.42578125" customWidth="1"/>
    <col min="2" max="2" width="20.5703125" customWidth="1"/>
    <col min="3" max="3" width="43" customWidth="1"/>
    <col min="4" max="4" width="16.140625" customWidth="1"/>
    <col min="5" max="5" width="13.42578125" customWidth="1"/>
    <col min="6" max="6" width="5.28515625" customWidth="1"/>
    <col min="7" max="8" width="14.42578125" customWidth="1"/>
    <col min="9" max="9" width="12.28515625" bestFit="1" customWidth="1"/>
  </cols>
  <sheetData>
    <row r="2" spans="1:9" ht="20.25" customHeight="1" thickBot="1">
      <c r="A2" s="228" t="s">
        <v>138</v>
      </c>
      <c r="B2" s="228"/>
      <c r="C2" s="54"/>
      <c r="D2" s="54"/>
      <c r="E2" s="54"/>
      <c r="F2" s="146"/>
      <c r="G2" s="146"/>
      <c r="H2" s="146"/>
    </row>
    <row r="3" spans="1:9" ht="21.75" thickTop="1">
      <c r="C3" s="75" t="s">
        <v>139</v>
      </c>
      <c r="D3" s="122">
        <v>20</v>
      </c>
    </row>
    <row r="4" spans="1:9" ht="21">
      <c r="C4" s="75" t="s">
        <v>140</v>
      </c>
      <c r="D4" s="122">
        <v>7</v>
      </c>
    </row>
    <row r="5" spans="1:9" ht="21">
      <c r="C5" s="75" t="s">
        <v>141</v>
      </c>
      <c r="D5" s="122">
        <v>3</v>
      </c>
    </row>
    <row r="8" spans="1:9" ht="33" thickBot="1">
      <c r="A8" s="54" t="s">
        <v>142</v>
      </c>
      <c r="B8" s="54" t="s">
        <v>143</v>
      </c>
      <c r="C8" s="98"/>
      <c r="D8" s="54"/>
      <c r="E8" s="54"/>
      <c r="F8" s="54"/>
      <c r="G8" s="99" t="s">
        <v>144</v>
      </c>
      <c r="H8" s="99" t="s">
        <v>121</v>
      </c>
      <c r="I8" s="99" t="s">
        <v>145</v>
      </c>
    </row>
    <row r="9" spans="1:9" ht="16.5" thickTop="1" thickBot="1">
      <c r="C9" s="94" t="s">
        <v>146</v>
      </c>
      <c r="D9" s="116">
        <v>3</v>
      </c>
      <c r="E9" t="s">
        <v>147</v>
      </c>
      <c r="F9" s="227" t="s">
        <v>9</v>
      </c>
    </row>
    <row r="10" spans="1:9" ht="16.5" thickTop="1" thickBot="1">
      <c r="C10" s="94" t="s">
        <v>148</v>
      </c>
      <c r="D10" s="117">
        <v>1900</v>
      </c>
      <c r="E10" t="s">
        <v>149</v>
      </c>
      <c r="F10" s="227"/>
      <c r="G10" s="121">
        <f>D9*D10</f>
        <v>5700</v>
      </c>
      <c r="H10" s="121">
        <f>G10*D4</f>
        <v>39900</v>
      </c>
    </row>
    <row r="11" spans="1:9" ht="17.25" thickTop="1" thickBot="1">
      <c r="C11" s="94" t="s">
        <v>150</v>
      </c>
      <c r="D11" s="116">
        <v>0</v>
      </c>
      <c r="E11" t="str">
        <f>IF(D9&gt;0,"time","")</f>
        <v>time</v>
      </c>
      <c r="F11" s="97" t="s">
        <v>9</v>
      </c>
    </row>
    <row r="12" spans="1:9" ht="17.25" thickTop="1" thickBot="1">
      <c r="C12" s="94" t="s">
        <v>151</v>
      </c>
      <c r="D12" s="117">
        <v>1100</v>
      </c>
      <c r="E12" t="s">
        <v>149</v>
      </c>
      <c r="F12" s="97" t="s">
        <v>9</v>
      </c>
      <c r="G12" s="115">
        <f>D11*D12</f>
        <v>0</v>
      </c>
      <c r="H12" s="121">
        <f>G12*D4</f>
        <v>0</v>
      </c>
    </row>
    <row r="13" spans="1:9" ht="16.5" thickTop="1">
      <c r="C13" s="94"/>
      <c r="D13" s="94"/>
      <c r="F13" s="97"/>
      <c r="G13" s="94"/>
    </row>
    <row r="14" spans="1:9" ht="16.5" thickBot="1">
      <c r="C14" s="94" t="s">
        <v>152</v>
      </c>
      <c r="D14" s="107">
        <v>50</v>
      </c>
      <c r="E14" t="str">
        <f>IF(D9&gt;0,"km","")</f>
        <v>km</v>
      </c>
      <c r="F14" s="97" t="s">
        <v>9</v>
      </c>
    </row>
    <row r="15" spans="1:9" ht="17.25" thickTop="1" thickBot="1">
      <c r="C15" s="94" t="s">
        <v>153</v>
      </c>
      <c r="D15" s="118">
        <v>4.5</v>
      </c>
      <c r="E15" t="s">
        <v>154</v>
      </c>
      <c r="F15" s="97" t="s">
        <v>9</v>
      </c>
      <c r="G15" s="115">
        <f>D14*D15</f>
        <v>225</v>
      </c>
      <c r="H15" s="115">
        <f>D4*G15</f>
        <v>1575</v>
      </c>
    </row>
    <row r="16" spans="1:9" ht="17.25" thickTop="1" thickBot="1">
      <c r="C16" s="94" t="s">
        <v>155</v>
      </c>
      <c r="D16" s="117">
        <v>2</v>
      </c>
      <c r="E16" t="s">
        <v>149</v>
      </c>
      <c r="F16" s="97" t="s">
        <v>9</v>
      </c>
    </row>
    <row r="17" spans="1:9" ht="17.25" thickTop="1" thickBot="1">
      <c r="C17" s="94" t="s">
        <v>156</v>
      </c>
      <c r="D17" s="119">
        <f>Lønn!C12</f>
        <v>425.42894117647069</v>
      </c>
      <c r="E17" t="s">
        <v>149</v>
      </c>
      <c r="F17" s="97" t="s">
        <v>9</v>
      </c>
      <c r="G17" s="115">
        <f>D16*D17</f>
        <v>850.85788235294137</v>
      </c>
      <c r="H17" s="115">
        <f>D4*G17</f>
        <v>5956.0051764705895</v>
      </c>
      <c r="I17" s="26"/>
    </row>
    <row r="18" spans="1:9" ht="15.75" thickTop="1">
      <c r="C18" s="94"/>
      <c r="D18" s="94"/>
      <c r="E18" s="94"/>
      <c r="F18" s="95"/>
      <c r="G18" s="94"/>
      <c r="I18" s="27"/>
    </row>
    <row r="19" spans="1:9" ht="20.25" thickBot="1">
      <c r="A19" s="54" t="s">
        <v>157</v>
      </c>
      <c r="B19" s="54" t="s">
        <v>158</v>
      </c>
      <c r="C19" s="98"/>
      <c r="D19" s="54"/>
      <c r="E19" s="54"/>
      <c r="F19" s="54"/>
      <c r="G19" s="54"/>
      <c r="H19" s="54"/>
    </row>
    <row r="20" spans="1:9" ht="28.5" customHeight="1" thickTop="1" thickBot="1">
      <c r="C20" s="94" t="s">
        <v>159</v>
      </c>
      <c r="D20" s="116">
        <v>1</v>
      </c>
      <c r="E20" s="64" t="s">
        <v>160</v>
      </c>
      <c r="F20" s="97" t="s">
        <v>9</v>
      </c>
    </row>
    <row r="21" spans="1:9" ht="17.25" thickTop="1" thickBot="1">
      <c r="C21" s="94" t="s">
        <v>161</v>
      </c>
      <c r="D21" s="117">
        <v>1800</v>
      </c>
      <c r="E21" t="s">
        <v>69</v>
      </c>
      <c r="F21" s="97" t="s">
        <v>9</v>
      </c>
      <c r="G21" s="115">
        <f>D20*D21</f>
        <v>1800</v>
      </c>
      <c r="H21" s="115">
        <f>(D3-D4)*G21</f>
        <v>23400</v>
      </c>
    </row>
    <row r="22" spans="1:9" ht="8.25" customHeight="1" thickTop="1">
      <c r="C22" s="94"/>
      <c r="D22" s="94"/>
      <c r="F22" s="96"/>
      <c r="G22" s="94"/>
    </row>
    <row r="23" spans="1:9" ht="16.5" thickBot="1">
      <c r="C23" s="94" t="s">
        <v>162</v>
      </c>
      <c r="D23" s="107">
        <v>10</v>
      </c>
      <c r="E23" t="str">
        <f>IF(D20&gt;0,"km","")</f>
        <v>km</v>
      </c>
      <c r="F23" s="97" t="s">
        <v>9</v>
      </c>
    </row>
    <row r="24" spans="1:9" ht="17.25" thickTop="1" thickBot="1">
      <c r="C24" s="94" t="s">
        <v>153</v>
      </c>
      <c r="D24" s="118">
        <v>4.5</v>
      </c>
      <c r="E24" t="s">
        <v>163</v>
      </c>
      <c r="F24" s="97" t="s">
        <v>9</v>
      </c>
      <c r="G24" s="115">
        <f>D23*D24</f>
        <v>45</v>
      </c>
      <c r="H24" s="115">
        <f>(D3-D4)*G24</f>
        <v>585</v>
      </c>
    </row>
    <row r="25" spans="1:9" ht="17.25" thickTop="1" thickBot="1">
      <c r="C25" s="94" t="s">
        <v>164</v>
      </c>
      <c r="D25" s="116">
        <v>2</v>
      </c>
      <c r="E25" t="s">
        <v>34</v>
      </c>
      <c r="F25" s="97" t="s">
        <v>9</v>
      </c>
    </row>
    <row r="26" spans="1:9" ht="17.25" thickTop="1" thickBot="1">
      <c r="C26" s="94" t="s">
        <v>165</v>
      </c>
      <c r="D26" s="111">
        <f>Lønn!C12</f>
        <v>425.42894117647069</v>
      </c>
      <c r="E26" t="s">
        <v>149</v>
      </c>
      <c r="F26" s="97" t="s">
        <v>9</v>
      </c>
      <c r="G26" s="115">
        <f>D25*D26</f>
        <v>850.85788235294137</v>
      </c>
      <c r="H26" s="115">
        <f>(D3-D4)*G26</f>
        <v>11061.152470588238</v>
      </c>
      <c r="I26" s="26"/>
    </row>
    <row r="27" spans="1:9" ht="15.75" thickTop="1">
      <c r="C27" s="94"/>
      <c r="D27" s="94"/>
      <c r="E27" s="94"/>
      <c r="F27" s="95"/>
      <c r="G27" s="94"/>
      <c r="I27" s="27"/>
    </row>
    <row r="28" spans="1:9" ht="20.25" thickBot="1">
      <c r="A28" s="54" t="s">
        <v>166</v>
      </c>
      <c r="B28" s="54" t="s">
        <v>167</v>
      </c>
      <c r="C28" s="98"/>
      <c r="D28" s="54"/>
      <c r="E28" s="54"/>
      <c r="F28" s="54"/>
      <c r="G28" s="54"/>
      <c r="H28" s="54"/>
    </row>
    <row r="29" spans="1:9" ht="17.25" thickTop="1" thickBot="1">
      <c r="C29" s="94" t="s">
        <v>168</v>
      </c>
      <c r="D29" s="107">
        <v>10</v>
      </c>
      <c r="E29" t="str">
        <f>IF(D26&gt;0,"km","")</f>
        <v>km</v>
      </c>
      <c r="F29" s="97" t="s">
        <v>9</v>
      </c>
    </row>
    <row r="30" spans="1:9" ht="17.25" thickTop="1" thickBot="1">
      <c r="C30" s="94" t="s">
        <v>153</v>
      </c>
      <c r="D30" s="118">
        <v>4.5</v>
      </c>
      <c r="E30" t="s">
        <v>163</v>
      </c>
      <c r="F30" s="97" t="s">
        <v>9</v>
      </c>
      <c r="G30" s="121">
        <f>D29*D30</f>
        <v>45</v>
      </c>
      <c r="H30" s="121">
        <f>D3*G30</f>
        <v>900</v>
      </c>
    </row>
    <row r="31" spans="1:9" ht="17.25" thickTop="1" thickBot="1">
      <c r="C31" s="94" t="s">
        <v>169</v>
      </c>
      <c r="D31" s="116">
        <v>2</v>
      </c>
      <c r="E31" t="s">
        <v>34</v>
      </c>
      <c r="F31" s="97" t="s">
        <v>9</v>
      </c>
    </row>
    <row r="32" spans="1:9" ht="17.25" thickTop="1" thickBot="1">
      <c r="C32" s="94" t="s">
        <v>156</v>
      </c>
      <c r="D32" s="117">
        <f>Lønn!C12</f>
        <v>425.42894117647069</v>
      </c>
      <c r="E32" t="s">
        <v>149</v>
      </c>
      <c r="F32" s="97" t="s">
        <v>9</v>
      </c>
      <c r="G32" s="121">
        <f>D31*D32</f>
        <v>850.85788235294137</v>
      </c>
      <c r="H32" s="121">
        <f>D3*G32</f>
        <v>17017.157647058826</v>
      </c>
      <c r="I32" s="26"/>
    </row>
    <row r="33" spans="1:9" ht="15.75" thickTop="1"/>
    <row r="34" spans="1:9" ht="20.25" thickBot="1">
      <c r="A34" s="54" t="s">
        <v>170</v>
      </c>
      <c r="B34" s="54" t="s">
        <v>18</v>
      </c>
      <c r="C34" s="54"/>
      <c r="D34" s="54"/>
      <c r="E34" s="54"/>
      <c r="F34" s="54"/>
      <c r="G34" s="54"/>
      <c r="H34" s="54"/>
    </row>
    <row r="35" spans="1:9" ht="17.25" thickTop="1" thickBot="1">
      <c r="B35" s="28"/>
      <c r="C35" s="94" t="s">
        <v>171</v>
      </c>
      <c r="D35" s="116">
        <v>4</v>
      </c>
      <c r="E35" t="s">
        <v>34</v>
      </c>
      <c r="F35" s="97" t="s">
        <v>9</v>
      </c>
      <c r="I35" s="27"/>
    </row>
    <row r="36" spans="1:9" ht="17.25" thickTop="1" thickBot="1">
      <c r="C36" s="94"/>
      <c r="D36" s="117">
        <f>Lønn!C12</f>
        <v>425.42894117647069</v>
      </c>
      <c r="E36" t="s">
        <v>149</v>
      </c>
      <c r="F36" s="97" t="s">
        <v>9</v>
      </c>
      <c r="G36" s="121">
        <f>D5*D35*D36</f>
        <v>5105.147294117648</v>
      </c>
      <c r="H36" s="121">
        <f>D5*G36</f>
        <v>15315.441882352945</v>
      </c>
      <c r="I36" s="26"/>
    </row>
    <row r="37" spans="1:9" ht="15.75" thickTop="1"/>
    <row r="38" spans="1:9" ht="20.25" thickBot="1">
      <c r="A38" s="54" t="s">
        <v>172</v>
      </c>
      <c r="B38" s="54" t="s">
        <v>173</v>
      </c>
      <c r="C38" s="54"/>
      <c r="D38" s="54"/>
      <c r="E38" s="54"/>
      <c r="F38" s="54"/>
      <c r="G38" s="54"/>
      <c r="H38" s="54"/>
    </row>
    <row r="39" spans="1:9" ht="18.75" thickTop="1" thickBot="1">
      <c r="B39" s="76" t="s">
        <v>174</v>
      </c>
      <c r="C39" s="76"/>
    </row>
    <row r="40" spans="1:9" ht="16.5" thickTop="1" thickBot="1">
      <c r="B40" s="78"/>
      <c r="C40" s="94" t="s">
        <v>175</v>
      </c>
      <c r="D40" s="107">
        <v>15</v>
      </c>
    </row>
    <row r="41" spans="1:9" ht="27.75" customHeight="1" thickTop="1" thickBot="1">
      <c r="B41" s="226" t="s">
        <v>176</v>
      </c>
      <c r="C41" s="226"/>
      <c r="D41" s="120">
        <v>150</v>
      </c>
      <c r="H41" s="121">
        <f>D41*D40</f>
        <v>2250</v>
      </c>
    </row>
    <row r="42" spans="1:9" ht="27.75" customHeight="1" thickTop="1" thickBot="1">
      <c r="B42" s="76" t="s">
        <v>177</v>
      </c>
      <c r="C42" s="76"/>
      <c r="F42" s="97" t="s">
        <v>9</v>
      </c>
      <c r="H42" s="69"/>
    </row>
    <row r="43" spans="1:9" ht="17.25" thickTop="1" thickBot="1">
      <c r="B43" s="78" t="s">
        <v>178</v>
      </c>
      <c r="C43" s="78"/>
      <c r="D43" s="107">
        <v>4</v>
      </c>
      <c r="F43" s="97" t="s">
        <v>9</v>
      </c>
      <c r="H43" s="69"/>
    </row>
    <row r="44" spans="1:9" ht="34.5" customHeight="1" thickTop="1" thickBot="1">
      <c r="B44" s="226" t="s">
        <v>176</v>
      </c>
      <c r="C44" s="226"/>
      <c r="D44" s="120">
        <v>2500</v>
      </c>
      <c r="F44" s="97" t="s">
        <v>9</v>
      </c>
      <c r="H44" s="121">
        <f>D43*D44</f>
        <v>10000</v>
      </c>
    </row>
    <row r="45" spans="1:9" ht="15.75" thickTop="1"/>
    <row r="46" spans="1:9" ht="19.5" thickBot="1">
      <c r="B46" s="100" t="s">
        <v>179</v>
      </c>
      <c r="C46" s="72"/>
      <c r="D46" s="72"/>
      <c r="E46" s="72"/>
      <c r="F46" s="72"/>
      <c r="G46" s="72"/>
      <c r="H46" s="101">
        <f>SUM(H9:H44)</f>
        <v>127959.75717647058</v>
      </c>
      <c r="I46" s="102">
        <f>H46/Kapitalkostnad!D5</f>
        <v>85.306504784313717</v>
      </c>
    </row>
    <row r="47" spans="1:9" ht="15.75" thickTop="1"/>
  </sheetData>
  <sheetProtection selectLockedCells="1"/>
  <mergeCells count="4">
    <mergeCell ref="B44:C44"/>
    <mergeCell ref="B41:C41"/>
    <mergeCell ref="F9:F10"/>
    <mergeCell ref="A2:B2"/>
  </mergeCells>
  <conditionalFormatting sqref="E10">
    <cfRule type="colorScale" priority="61">
      <colorScale>
        <cfvo type="formula" val="&quot;&gt;&quot;&quot;$T$20+$T$22&quot;&quot;&quot;"/>
        <cfvo type="max"/>
        <color rgb="FFFF7128"/>
        <color rgb="FFFFEF9C"/>
      </colorScale>
    </cfRule>
    <cfRule type="colorScale" priority="62">
      <colorScale>
        <cfvo type="num" val="0"/>
        <cfvo type="max"/>
        <color theme="0"/>
        <color theme="0"/>
      </colorScale>
    </cfRule>
    <cfRule type="colorScale" priority="63">
      <colorScale>
        <cfvo type="num" val="0"/>
        <cfvo type="max"/>
        <color theme="0"/>
        <color theme="0"/>
      </colorScale>
    </cfRule>
    <cfRule type="colorScale" priority="64">
      <colorScale>
        <cfvo type="num" val="0"/>
        <cfvo type="max"/>
        <color theme="0"/>
        <color theme="0"/>
      </colorScale>
    </cfRule>
  </conditionalFormatting>
  <conditionalFormatting sqref="E21">
    <cfRule type="colorScale" priority="25">
      <colorScale>
        <cfvo type="formula" val="&quot;&gt;&quot;&quot;$T$20+$T$22&quot;&quot;&quot;"/>
        <cfvo type="max"/>
        <color rgb="FFFF7128"/>
        <color rgb="FFFFEF9C"/>
      </colorScale>
    </cfRule>
    <cfRule type="colorScale" priority="26">
      <colorScale>
        <cfvo type="num" val="0"/>
        <cfvo type="max"/>
        <color theme="0"/>
        <color theme="0"/>
      </colorScale>
    </cfRule>
    <cfRule type="colorScale" priority="27">
      <colorScale>
        <cfvo type="num" val="0"/>
        <cfvo type="max"/>
        <color theme="0"/>
        <color theme="0"/>
      </colorScale>
    </cfRule>
    <cfRule type="colorScale" priority="28">
      <colorScale>
        <cfvo type="num" val="0"/>
        <cfvo type="max"/>
        <color theme="0"/>
        <color theme="0"/>
      </colorScale>
    </cfRule>
  </conditionalFormatting>
  <dataValidations count="5">
    <dataValidation type="list" allowBlank="1" showInputMessage="1" showErrorMessage="1" sqref="D11" xr:uid="{DD9BE566-CA14-48AA-9B5D-B5D28C186CFD}">
      <mc:AlternateContent xmlns:x12ac="http://schemas.microsoft.com/office/spreadsheetml/2011/1/ac" xmlns:mc="http://schemas.openxmlformats.org/markup-compatibility/2006">
        <mc:Choice Requires="x12ac">
          <x12ac:list>0,"0,5","1,0","1,5","2,0","2,5","3,0","3,5","4,0","4,5","5,0",</x12ac:list>
        </mc:Choice>
        <mc:Fallback>
          <formula1>"0,0,5,1,0,1,5,2,0,2,5,3,0,3,5,4,0,4,5,5,0,"</formula1>
        </mc:Fallback>
      </mc:AlternateContent>
    </dataValidation>
    <dataValidation type="decimal" allowBlank="1" showInputMessage="1" showErrorMessage="1" promptTitle="NB!" prompt="Minstetid 1,5" sqref="D9" xr:uid="{125D8EAF-E41A-4281-B7FA-D2246E13FC74}">
      <formula1>1.5</formula1>
      <formula2>5</formula2>
    </dataValidation>
    <dataValidation type="list" allowBlank="1" showInputMessage="1" showErrorMessage="1" sqref="D35" xr:uid="{360A9A87-BEF2-4BD4-A5BC-DB8D2C41E968}">
      <mc:AlternateContent xmlns:x12ac="http://schemas.microsoft.com/office/spreadsheetml/2011/1/ac" xmlns:mc="http://schemas.openxmlformats.org/markup-compatibility/2006">
        <mc:Choice Requires="x12ac">
          <x12ac:list>"1,0","1,5","2,0","2,5","3,0","3,5","4,0","4,5","5,0","5,5","6,0","6,5","7,0","7,5","8,0","8,5","9,0","9,5","10,0"</x12ac:list>
        </mc:Choice>
        <mc:Fallback>
          <formula1>"1,0,1,5,2,0,2,5,3,0,3,5,4,0,4,5,5,0,5,5,6,0,6,5,7,0,7,5,8,0,8,5,9,0,9,5,10,0"</formula1>
        </mc:Fallback>
      </mc:AlternateContent>
    </dataValidation>
    <dataValidation type="list" allowBlank="1" showInputMessage="1" showErrorMessage="1" sqref="D16 D25 D31" xr:uid="{C7EF0F34-B00C-4725-A616-3A576D636C42}">
      <mc:AlternateContent xmlns:x12ac="http://schemas.microsoft.com/office/spreadsheetml/2011/1/ac" xmlns:mc="http://schemas.openxmlformats.org/markup-compatibility/2006">
        <mc:Choice Requires="x12ac">
          <x12ac:list>0,"0,5","$F$23=$C$22*$C$231,0","1,5","2,0","2,5","3,0","3,5","4,0","4,5","5,0","5,5","6,0","6,5","7,0","7,5","8,0","8,5","9,0","9,5","10,0"</x12ac:list>
        </mc:Choice>
        <mc:Fallback>
          <formula1>"0,0,5,$F$23=$C$22*$C$231,0,1,5,2,0,2,5,3,0,3,5,4,0,4,5,5,0,5,5,6,0,6,5,7,0,7,5,8,0,8,5,9,0,9,5,10,0"</formula1>
        </mc:Fallback>
      </mc:AlternateContent>
    </dataValidation>
    <dataValidation type="list" allowBlank="1" showInputMessage="1" showErrorMessage="1" sqref="D20" xr:uid="{47E97AFC-F6A2-482F-B258-E1C19AC5610F}">
      <mc:AlternateContent xmlns:x12ac="http://schemas.microsoft.com/office/spreadsheetml/2011/1/ac" xmlns:mc="http://schemas.openxmlformats.org/markup-compatibility/2006">
        <mc:Choice Requires="x12ac">
          <x12ac:list>"0,5","1,0","1,5","2,0","2,5","3,0","3,5","4,0","4,5","5,0",</x12ac:list>
        </mc:Choice>
        <mc:Fallback>
          <formula1>"0,5,1,0,1,5,2,0,2,5,3,0,3,5,4,0,4,5,5,0,"</formula1>
        </mc:Fallback>
      </mc:AlternateContent>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C78C-B712-486F-ABA6-365C7CB73092}">
  <sheetPr>
    <tabColor rgb="FFFF0000"/>
  </sheetPr>
  <dimension ref="B2:G5"/>
  <sheetViews>
    <sheetView zoomScale="115" zoomScaleNormal="115" workbookViewId="0">
      <selection activeCell="I9" sqref="I9"/>
    </sheetView>
  </sheetViews>
  <sheetFormatPr baseColWidth="10" defaultColWidth="11.42578125" defaultRowHeight="15"/>
  <cols>
    <col min="2" max="2" width="21.28515625" customWidth="1"/>
    <col min="3" max="3" width="12.5703125" bestFit="1" customWidth="1"/>
  </cols>
  <sheetData>
    <row r="2" spans="2:7" ht="20.25" thickBot="1">
      <c r="B2" s="54" t="s">
        <v>13</v>
      </c>
      <c r="C2" s="54"/>
      <c r="D2" s="54"/>
    </row>
    <row r="3" spans="2:7" ht="15.75" thickTop="1">
      <c r="B3" t="s">
        <v>180</v>
      </c>
      <c r="C3" s="103">
        <v>40000</v>
      </c>
    </row>
    <row r="4" spans="2:7" ht="15.75" thickBot="1">
      <c r="B4" s="72" t="s">
        <v>181</v>
      </c>
      <c r="C4" s="92">
        <f>C3/Kapitalkostnad!D5</f>
        <v>26.666666666666668</v>
      </c>
      <c r="D4" s="72" t="s">
        <v>69</v>
      </c>
      <c r="F4" s="7"/>
    </row>
    <row r="5" spans="2:7" ht="15.75" thickTop="1">
      <c r="F5" s="7"/>
      <c r="G5" s="3"/>
    </row>
  </sheetData>
  <sheetProtection selectLockedCell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92B0-CCC0-41F5-AEA8-030FBFBE9CA1}">
  <sheetPr>
    <tabColor rgb="FFFF0000"/>
  </sheetPr>
  <dimension ref="A3:F11"/>
  <sheetViews>
    <sheetView workbookViewId="0">
      <selection activeCell="J17" sqref="J17"/>
    </sheetView>
  </sheetViews>
  <sheetFormatPr baseColWidth="10" defaultColWidth="11.42578125" defaultRowHeight="15"/>
  <cols>
    <col min="3" max="3" width="12.5703125" bestFit="1" customWidth="1"/>
    <col min="4" max="4" width="34.140625" customWidth="1"/>
  </cols>
  <sheetData>
    <row r="3" spans="1:6" ht="20.25" thickBot="1">
      <c r="A3" s="54" t="s">
        <v>182</v>
      </c>
      <c r="B3" s="54"/>
      <c r="C3" s="54"/>
      <c r="D3" s="54"/>
    </row>
    <row r="4" spans="1:6" ht="48" customHeight="1" thickTop="1">
      <c r="A4" s="23" t="s">
        <v>183</v>
      </c>
      <c r="B4" s="28"/>
      <c r="C4" s="103">
        <v>30000</v>
      </c>
      <c r="D4" s="63" t="s">
        <v>184</v>
      </c>
    </row>
    <row r="5" spans="1:6" ht="15.75" thickBot="1">
      <c r="A5" s="72" t="s">
        <v>185</v>
      </c>
      <c r="B5" s="72"/>
      <c r="C5" s="89">
        <f>C4/Kapitalkostnad!D5</f>
        <v>20</v>
      </c>
      <c r="D5" s="73" t="s">
        <v>186</v>
      </c>
    </row>
    <row r="6" spans="1:6" ht="15.75" thickTop="1"/>
    <row r="11" spans="1:6">
      <c r="F11" s="61"/>
    </row>
  </sheetData>
  <sheetProtection selectLockedCells="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8B71-E4BC-4675-9713-4C02C1EDD91E}">
  <sheetPr>
    <tabColor rgb="FFFF0000"/>
  </sheetPr>
  <dimension ref="A4:C7"/>
  <sheetViews>
    <sheetView workbookViewId="0">
      <selection activeCell="G15" sqref="G15"/>
    </sheetView>
  </sheetViews>
  <sheetFormatPr baseColWidth="10" defaultColWidth="11.42578125" defaultRowHeight="15"/>
  <cols>
    <col min="1" max="1" width="40.42578125" customWidth="1"/>
    <col min="3" max="3" width="30.7109375" customWidth="1"/>
  </cols>
  <sheetData>
    <row r="4" spans="1:3" ht="20.25" thickBot="1">
      <c r="A4" s="54" t="s">
        <v>16</v>
      </c>
      <c r="B4" s="54"/>
      <c r="C4" s="54"/>
    </row>
    <row r="5" spans="1:3" ht="45.75" thickTop="1">
      <c r="A5" s="65" t="s">
        <v>187</v>
      </c>
      <c r="B5" s="103">
        <v>120000</v>
      </c>
      <c r="C5" s="63" t="s">
        <v>188</v>
      </c>
    </row>
    <row r="6" spans="1:3" ht="15.75" thickBot="1">
      <c r="A6" s="72" t="s">
        <v>189</v>
      </c>
      <c r="B6" s="93">
        <f>B5/Kapitalkostnad!D5</f>
        <v>80</v>
      </c>
      <c r="C6" s="73"/>
    </row>
    <row r="7" spans="1:3" ht="15.75" thickTop="1"/>
  </sheetData>
  <sheetProtection selectLockedCell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0"/>
  <sheetViews>
    <sheetView showGridLines="0" topLeftCell="A40" zoomScale="145" zoomScaleNormal="145" workbookViewId="0">
      <selection activeCell="M24" sqref="M24"/>
    </sheetView>
  </sheetViews>
  <sheetFormatPr baseColWidth="10" defaultColWidth="11.42578125" defaultRowHeight="15"/>
  <cols>
    <col min="1" max="1" width="14.28515625" customWidth="1"/>
    <col min="2" max="3" width="12.28515625" bestFit="1" customWidth="1"/>
    <col min="4" max="4" width="14.42578125" bestFit="1" customWidth="1"/>
    <col min="5" max="5" width="12.28515625" bestFit="1" customWidth="1"/>
    <col min="7" max="7" width="12.5703125" customWidth="1"/>
    <col min="8" max="8" width="12.140625" customWidth="1"/>
    <col min="9" max="10" width="12.28515625" customWidth="1"/>
  </cols>
  <sheetData>
    <row r="1" spans="1:12" ht="20.25" thickBot="1">
      <c r="A1" s="54" t="s">
        <v>190</v>
      </c>
    </row>
    <row r="2" spans="1:12" ht="15.75" thickTop="1">
      <c r="A2" t="s">
        <v>191</v>
      </c>
      <c r="B2" s="1">
        <v>2000</v>
      </c>
    </row>
    <row r="3" spans="1:12">
      <c r="A3" t="s">
        <v>192</v>
      </c>
      <c r="B3" s="1">
        <v>3000</v>
      </c>
    </row>
    <row r="4" spans="1:12">
      <c r="A4" t="s">
        <v>38</v>
      </c>
      <c r="B4" t="s">
        <v>193</v>
      </c>
      <c r="C4" t="s">
        <v>194</v>
      </c>
      <c r="D4" t="s">
        <v>195</v>
      </c>
      <c r="E4" t="s">
        <v>42</v>
      </c>
      <c r="F4" t="s">
        <v>196</v>
      </c>
    </row>
    <row r="5" spans="1:12">
      <c r="A5" s="12">
        <v>2800000</v>
      </c>
      <c r="B5" s="12">
        <v>300000</v>
      </c>
      <c r="C5" s="7">
        <f>20000/B2</f>
        <v>10</v>
      </c>
      <c r="D5" s="13">
        <f>20000/B3</f>
        <v>6.666666666666667</v>
      </c>
      <c r="E5" s="12">
        <v>0.05</v>
      </c>
    </row>
    <row r="7" spans="1:12">
      <c r="A7" t="s">
        <v>197</v>
      </c>
      <c r="C7" s="21">
        <v>0.9</v>
      </c>
    </row>
    <row r="9" spans="1:12">
      <c r="A9" t="s">
        <v>44</v>
      </c>
      <c r="C9">
        <v>-1</v>
      </c>
      <c r="D9">
        <v>-2</v>
      </c>
      <c r="G9" s="9" t="s">
        <v>198</v>
      </c>
      <c r="H9" s="9"/>
      <c r="I9" s="1">
        <v>14.3</v>
      </c>
      <c r="J9" s="9" t="s">
        <v>199</v>
      </c>
    </row>
    <row r="10" spans="1:12">
      <c r="B10" t="s">
        <v>45</v>
      </c>
      <c r="C10">
        <f>E5</f>
        <v>0.05</v>
      </c>
    </row>
    <row r="11" spans="1:12">
      <c r="B11" t="s">
        <v>46</v>
      </c>
      <c r="C11">
        <f>1+C10</f>
        <v>1.05</v>
      </c>
    </row>
    <row r="12" spans="1:12">
      <c r="A12" t="s">
        <v>47</v>
      </c>
      <c r="C12">
        <f>POWER(C11,C5)</f>
        <v>1.6288946267774416</v>
      </c>
      <c r="D12">
        <f>POWER(C11,D5)</f>
        <v>1.3844012852090217</v>
      </c>
      <c r="H12" s="9" t="s">
        <v>200</v>
      </c>
    </row>
    <row r="13" spans="1:12">
      <c r="A13" t="s">
        <v>48</v>
      </c>
      <c r="C13">
        <f>C12-1</f>
        <v>0.62889462677744157</v>
      </c>
      <c r="D13">
        <f>D12-1</f>
        <v>0.38440128520902173</v>
      </c>
      <c r="G13" s="55"/>
      <c r="H13" s="55"/>
      <c r="I13" s="56" t="s">
        <v>201</v>
      </c>
      <c r="J13" s="56"/>
      <c r="K13" s="56"/>
      <c r="L13" s="56"/>
    </row>
    <row r="14" spans="1:12">
      <c r="G14" s="57"/>
      <c r="H14" s="57"/>
      <c r="I14" s="58">
        <f>B2</f>
        <v>2000</v>
      </c>
      <c r="J14" s="58">
        <f>B3</f>
        <v>3000</v>
      </c>
      <c r="K14" s="59">
        <v>2000</v>
      </c>
      <c r="L14" s="58">
        <v>3000</v>
      </c>
    </row>
    <row r="15" spans="1:12">
      <c r="B15" t="s">
        <v>49</v>
      </c>
      <c r="C15" t="s">
        <v>50</v>
      </c>
      <c r="G15" s="16" t="s">
        <v>202</v>
      </c>
      <c r="H15" s="16"/>
      <c r="I15" s="17">
        <f>D21</f>
        <v>169.38071870682086</v>
      </c>
      <c r="J15" s="17">
        <f>E21</f>
        <v>155.06033825392487</v>
      </c>
      <c r="K15" s="20">
        <f t="shared" ref="K15:K26" si="0">I15/$I$27</f>
        <v>0.22006621004019161</v>
      </c>
      <c r="L15" s="18">
        <f t="shared" ref="L15:L26" si="1">J15/$J$27</f>
        <v>0.21110229741749001</v>
      </c>
    </row>
    <row r="16" spans="1:12">
      <c r="A16" t="s">
        <v>51</v>
      </c>
      <c r="B16" s="6">
        <f>(C10*C12)/C13</f>
        <v>0.1295045749654567</v>
      </c>
      <c r="C16" s="6">
        <f>(C10*D12)/D13</f>
        <v>0.18007240590470983</v>
      </c>
      <c r="G16" s="16" t="s">
        <v>13</v>
      </c>
      <c r="H16" s="16"/>
      <c r="I16" s="19">
        <f>D26</f>
        <v>15</v>
      </c>
      <c r="J16" s="19">
        <f>E26</f>
        <v>10</v>
      </c>
      <c r="K16" s="20">
        <f t="shared" si="0"/>
        <v>1.9488600448770824E-2</v>
      </c>
      <c r="L16" s="18">
        <f t="shared" si="1"/>
        <v>1.3614203334948975E-2</v>
      </c>
    </row>
    <row r="17" spans="1:12">
      <c r="G17" s="16" t="s">
        <v>14</v>
      </c>
      <c r="H17" s="16"/>
      <c r="I17" s="19">
        <f>D33</f>
        <v>13.5</v>
      </c>
      <c r="J17" s="19">
        <f>I17</f>
        <v>13.5</v>
      </c>
      <c r="K17" s="20">
        <f t="shared" si="0"/>
        <v>1.7539740403893743E-2</v>
      </c>
      <c r="L17" s="18">
        <f t="shared" si="1"/>
        <v>1.8379174502181114E-2</v>
      </c>
    </row>
    <row r="18" spans="1:12">
      <c r="A18" s="29" t="s">
        <v>202</v>
      </c>
      <c r="B18" s="29"/>
      <c r="C18" s="29"/>
      <c r="D18" s="29"/>
      <c r="E18" s="29"/>
      <c r="G18" s="16" t="s">
        <v>15</v>
      </c>
      <c r="H18" s="16"/>
      <c r="I18" s="19">
        <f>B38</f>
        <v>15</v>
      </c>
      <c r="J18" s="19">
        <f>C38</f>
        <v>15</v>
      </c>
      <c r="K18" s="20">
        <f t="shared" si="0"/>
        <v>1.9488600448770824E-2</v>
      </c>
      <c r="L18" s="18">
        <f t="shared" si="1"/>
        <v>2.0421305002423461E-2</v>
      </c>
    </row>
    <row r="19" spans="1:12">
      <c r="D19" t="s">
        <v>203</v>
      </c>
      <c r="E19" t="s">
        <v>204</v>
      </c>
      <c r="G19" s="23" t="s">
        <v>205</v>
      </c>
      <c r="I19" s="19">
        <v>100</v>
      </c>
      <c r="J19" s="19">
        <v>100</v>
      </c>
      <c r="K19" s="20">
        <f t="shared" si="0"/>
        <v>0.12992400299180551</v>
      </c>
      <c r="L19" s="18">
        <f t="shared" si="1"/>
        <v>0.13614203334948974</v>
      </c>
    </row>
    <row r="20" spans="1:12">
      <c r="A20" t="s">
        <v>53</v>
      </c>
      <c r="D20" s="3">
        <f>(A5-(B5/C12))*B16</f>
        <v>338761.43741364172</v>
      </c>
      <c r="E20" s="3">
        <f>(A5-(B5/D12))*C16</f>
        <v>465181.01476177457</v>
      </c>
      <c r="G20" s="16" t="s">
        <v>17</v>
      </c>
      <c r="H20" s="16"/>
      <c r="I20" s="19">
        <f>B42</f>
        <v>11.2</v>
      </c>
      <c r="J20" s="19">
        <f>C42</f>
        <v>11.2</v>
      </c>
      <c r="K20" s="20">
        <f t="shared" si="0"/>
        <v>1.4551488335082215E-2</v>
      </c>
      <c r="L20" s="18">
        <f t="shared" si="1"/>
        <v>1.5247907735142851E-2</v>
      </c>
    </row>
    <row r="21" spans="1:12">
      <c r="A21" t="s">
        <v>54</v>
      </c>
      <c r="D21" s="4">
        <f>D20/B2</f>
        <v>169.38071870682086</v>
      </c>
      <c r="E21" s="5">
        <f>E20/B3</f>
        <v>155.06033825392487</v>
      </c>
      <c r="G21" s="16" t="s">
        <v>206</v>
      </c>
      <c r="H21" s="16"/>
      <c r="I21" s="19">
        <f>B44</f>
        <v>15.833333333333334</v>
      </c>
      <c r="J21" s="19">
        <f>C44</f>
        <v>15.833333333333334</v>
      </c>
      <c r="K21" s="20">
        <f t="shared" si="0"/>
        <v>2.057130047370254E-2</v>
      </c>
      <c r="L21" s="18">
        <f t="shared" si="1"/>
        <v>2.1555821947002545E-2</v>
      </c>
    </row>
    <row r="22" spans="1:12">
      <c r="D22" s="4"/>
      <c r="E22" s="5"/>
      <c r="G22" s="16" t="s">
        <v>19</v>
      </c>
      <c r="H22" s="16"/>
      <c r="I22" s="19">
        <f>B48</f>
        <v>43.75</v>
      </c>
      <c r="J22" s="19">
        <f>C48</f>
        <v>29.166666666666668</v>
      </c>
      <c r="K22" s="20">
        <f t="shared" si="0"/>
        <v>5.684175130891491E-2</v>
      </c>
      <c r="L22" s="18">
        <f t="shared" si="1"/>
        <v>3.9708093060267846E-2</v>
      </c>
    </row>
    <row r="23" spans="1:12">
      <c r="A23" s="29" t="s">
        <v>13</v>
      </c>
      <c r="B23" s="29"/>
      <c r="C23" s="29"/>
      <c r="D23" s="30"/>
      <c r="E23" s="31"/>
      <c r="G23" s="16" t="s">
        <v>20</v>
      </c>
      <c r="H23" s="16"/>
      <c r="I23" s="19">
        <f>B50</f>
        <v>268.66666666666669</v>
      </c>
      <c r="J23" s="19">
        <f>B50</f>
        <v>268.66666666666669</v>
      </c>
      <c r="K23" s="20">
        <f t="shared" si="0"/>
        <v>0.34906248803798418</v>
      </c>
      <c r="L23" s="18">
        <f t="shared" si="1"/>
        <v>0.36576826293229581</v>
      </c>
    </row>
    <row r="24" spans="1:12">
      <c r="B24" t="s">
        <v>73</v>
      </c>
      <c r="G24" s="16" t="s">
        <v>207</v>
      </c>
      <c r="H24" s="16"/>
      <c r="I24" s="19">
        <f>B53</f>
        <v>3.75</v>
      </c>
      <c r="J24" s="19">
        <f>C53</f>
        <v>2.5</v>
      </c>
      <c r="K24" s="20">
        <f t="shared" si="0"/>
        <v>4.8721501121927061E-3</v>
      </c>
      <c r="L24" s="18">
        <f t="shared" si="1"/>
        <v>3.4035508337372437E-3</v>
      </c>
    </row>
    <row r="25" spans="1:12">
      <c r="A25" t="s">
        <v>13</v>
      </c>
      <c r="B25" s="1">
        <v>30000</v>
      </c>
      <c r="G25" s="16" t="s">
        <v>22</v>
      </c>
      <c r="H25" s="16"/>
      <c r="I25" s="19">
        <f>B57/B2</f>
        <v>66</v>
      </c>
      <c r="J25" s="19">
        <f>C57/B3</f>
        <v>66</v>
      </c>
      <c r="K25" s="20">
        <f t="shared" si="0"/>
        <v>8.5749841974591637E-2</v>
      </c>
      <c r="L25" s="18">
        <f t="shared" si="1"/>
        <v>8.9853742010663235E-2</v>
      </c>
    </row>
    <row r="26" spans="1:12">
      <c r="A26" t="s">
        <v>181</v>
      </c>
      <c r="D26" s="7">
        <f>B25/B2</f>
        <v>15</v>
      </c>
      <c r="E26" s="3">
        <f>B25/B3</f>
        <v>10</v>
      </c>
      <c r="G26" s="16" t="s">
        <v>208</v>
      </c>
      <c r="H26" s="16"/>
      <c r="I26" s="19">
        <f>B60</f>
        <v>47.6</v>
      </c>
      <c r="J26" s="19">
        <f>I26</f>
        <v>47.6</v>
      </c>
      <c r="K26" s="20">
        <f t="shared" si="0"/>
        <v>6.184382542409942E-2</v>
      </c>
      <c r="L26" s="18">
        <f t="shared" si="1"/>
        <v>6.4803607874357128E-2</v>
      </c>
    </row>
    <row r="27" spans="1:12">
      <c r="D27" s="7"/>
      <c r="E27" s="3"/>
      <c r="G27" s="42" t="s">
        <v>25</v>
      </c>
      <c r="H27" s="42"/>
      <c r="I27" s="43">
        <f>SUM(I15:I26)</f>
        <v>769.68071870682081</v>
      </c>
      <c r="J27" s="43">
        <f>SUM(J15:J26)</f>
        <v>734.52700492059159</v>
      </c>
      <c r="K27" s="44">
        <f>SUM(K15:K26)</f>
        <v>1</v>
      </c>
      <c r="L27" s="45">
        <f>SUM(L15:L26)</f>
        <v>0.99999999999999989</v>
      </c>
    </row>
    <row r="28" spans="1:12">
      <c r="A28" s="29" t="s">
        <v>14</v>
      </c>
      <c r="B28" s="29"/>
      <c r="C28" s="29"/>
      <c r="D28" s="32"/>
      <c r="E28" s="33"/>
      <c r="G28" s="46" t="s">
        <v>209</v>
      </c>
      <c r="H28" s="46"/>
      <c r="I28" s="47">
        <f>I27/I9</f>
        <v>53.823826482994463</v>
      </c>
      <c r="J28" s="47">
        <f>J27/I9</f>
        <v>51.36552481962179</v>
      </c>
      <c r="K28" s="48"/>
      <c r="L28" s="49"/>
    </row>
    <row r="29" spans="1:12">
      <c r="C29" t="s">
        <v>105</v>
      </c>
      <c r="D29" t="s">
        <v>210</v>
      </c>
      <c r="E29" t="s">
        <v>211</v>
      </c>
      <c r="G29" s="50"/>
      <c r="H29" s="50"/>
      <c r="I29" s="51"/>
      <c r="J29" s="51"/>
      <c r="K29" s="52"/>
      <c r="L29" s="52"/>
    </row>
    <row r="30" spans="1:12">
      <c r="A30" t="s">
        <v>106</v>
      </c>
      <c r="B30" s="10">
        <v>200</v>
      </c>
      <c r="C30" s="10">
        <v>60</v>
      </c>
      <c r="D30" s="7">
        <f>(B30*C30)/B2</f>
        <v>6</v>
      </c>
      <c r="E30" s="7">
        <f>(B30*C30)/$B$3</f>
        <v>4</v>
      </c>
      <c r="G30" s="50" t="s">
        <v>212</v>
      </c>
      <c r="H30" s="50"/>
      <c r="I30" s="53">
        <v>158.43</v>
      </c>
      <c r="J30" s="51"/>
      <c r="K30" s="52"/>
      <c r="L30" s="52"/>
    </row>
    <row r="31" spans="1:12">
      <c r="A31" t="s">
        <v>213</v>
      </c>
      <c r="B31" s="10">
        <v>400</v>
      </c>
      <c r="C31" s="10">
        <v>25</v>
      </c>
      <c r="D31" s="7">
        <f>(B31*C31)/B2</f>
        <v>5</v>
      </c>
      <c r="E31" s="8">
        <f t="shared" ref="E31:E32" si="2">(B31*C31)/$B$3</f>
        <v>3.3333333333333335</v>
      </c>
      <c r="G31" s="42" t="s">
        <v>214</v>
      </c>
      <c r="H31" s="42"/>
      <c r="I31" s="43">
        <f>I27*I30/100</f>
        <v>1219.4051626472162</v>
      </c>
      <c r="J31" s="43">
        <f>J27*I30/100</f>
        <v>1163.7111338956934</v>
      </c>
      <c r="K31" s="44">
        <f>SUM(K15:K26)</f>
        <v>1</v>
      </c>
      <c r="L31" s="44">
        <f>SUM(L15:L26)</f>
        <v>0.99999999999999989</v>
      </c>
    </row>
    <row r="32" spans="1:12">
      <c r="A32" t="s">
        <v>108</v>
      </c>
      <c r="B32" s="10">
        <v>200</v>
      </c>
      <c r="C32" s="10">
        <v>25</v>
      </c>
      <c r="D32" s="7">
        <f>(B32*C32)/B2</f>
        <v>2.5</v>
      </c>
      <c r="E32" s="8">
        <f t="shared" si="2"/>
        <v>1.6666666666666667</v>
      </c>
      <c r="G32" s="46" t="s">
        <v>215</v>
      </c>
      <c r="H32" s="46"/>
      <c r="I32" s="47">
        <f>I31/I9</f>
        <v>85.27308829700813</v>
      </c>
      <c r="J32" s="47">
        <f>J31/I9</f>
        <v>81.378400971726805</v>
      </c>
      <c r="K32" s="48"/>
      <c r="L32" s="49"/>
    </row>
    <row r="33" spans="1:12">
      <c r="A33" t="s">
        <v>109</v>
      </c>
      <c r="D33" s="7">
        <f>SUM(D30:D32)</f>
        <v>13.5</v>
      </c>
      <c r="E33" s="7">
        <f>SUM(E30:E32)</f>
        <v>9</v>
      </c>
      <c r="G33" s="50"/>
      <c r="H33" s="50"/>
      <c r="I33" s="51"/>
      <c r="J33" s="51"/>
      <c r="K33" s="52"/>
      <c r="L33" s="52"/>
    </row>
    <row r="34" spans="1:12">
      <c r="D34" s="7"/>
      <c r="E34" s="7"/>
    </row>
    <row r="35" spans="1:12">
      <c r="A35" s="29" t="s">
        <v>15</v>
      </c>
      <c r="B35" s="29"/>
      <c r="C35" s="29"/>
      <c r="D35" s="32"/>
      <c r="E35" s="32"/>
    </row>
    <row r="36" spans="1:12">
      <c r="B36" s="7" t="s">
        <v>216</v>
      </c>
      <c r="C36" s="7" t="s">
        <v>217</v>
      </c>
    </row>
    <row r="37" spans="1:12">
      <c r="A37" t="s">
        <v>218</v>
      </c>
      <c r="B37" s="1">
        <f>15000*(B2/1000)</f>
        <v>30000</v>
      </c>
      <c r="C37" s="1">
        <f>15000*(B3/1000)</f>
        <v>45000</v>
      </c>
    </row>
    <row r="38" spans="1:12">
      <c r="A38" t="s">
        <v>185</v>
      </c>
      <c r="B38">
        <f>B37/B2</f>
        <v>15</v>
      </c>
      <c r="C38">
        <f>C37/B3</f>
        <v>15</v>
      </c>
    </row>
    <row r="40" spans="1:12">
      <c r="A40" s="29" t="s">
        <v>219</v>
      </c>
      <c r="B40" s="29"/>
      <c r="C40" s="29"/>
      <c r="D40" s="29"/>
      <c r="E40" s="29"/>
    </row>
    <row r="41" spans="1:12">
      <c r="A41" t="s">
        <v>220</v>
      </c>
      <c r="B41" s="11">
        <f>(112000/10000)*B2</f>
        <v>22400</v>
      </c>
      <c r="C41" s="11">
        <f>(112000/10000)*B3</f>
        <v>33600</v>
      </c>
    </row>
    <row r="42" spans="1:12">
      <c r="A42" t="s">
        <v>68</v>
      </c>
      <c r="B42" s="5">
        <f>B41/B2</f>
        <v>11.2</v>
      </c>
      <c r="C42" s="5">
        <f>C41/B3</f>
        <v>11.2</v>
      </c>
    </row>
    <row r="43" spans="1:12">
      <c r="A43" t="s">
        <v>221</v>
      </c>
      <c r="B43" s="14">
        <f>(95000/6000)*B2</f>
        <v>31666.666666666668</v>
      </c>
      <c r="C43">
        <f>(95000/6000)*B3</f>
        <v>47500</v>
      </c>
    </row>
    <row r="44" spans="1:12">
      <c r="A44" t="s">
        <v>222</v>
      </c>
      <c r="B44" s="2">
        <f>B43/B2</f>
        <v>15.833333333333334</v>
      </c>
      <c r="C44" s="2">
        <f>C43/B3</f>
        <v>15.833333333333334</v>
      </c>
    </row>
    <row r="45" spans="1:12">
      <c r="B45" s="2"/>
      <c r="C45" s="2"/>
    </row>
    <row r="46" spans="1:12">
      <c r="A46" s="29" t="s">
        <v>223</v>
      </c>
      <c r="B46" s="29"/>
      <c r="C46" s="29"/>
      <c r="D46" s="29"/>
      <c r="E46" s="29"/>
    </row>
    <row r="47" spans="1:12">
      <c r="A47" t="s">
        <v>224</v>
      </c>
      <c r="B47" s="11">
        <v>700000</v>
      </c>
      <c r="C47" s="11">
        <v>700000</v>
      </c>
    </row>
    <row r="48" spans="1:12">
      <c r="A48" t="s">
        <v>225</v>
      </c>
      <c r="B48" s="5">
        <f>B47/(B2*4*2)</f>
        <v>43.75</v>
      </c>
      <c r="C48" s="5">
        <f>C47/(B3*4*2)</f>
        <v>29.166666666666668</v>
      </c>
    </row>
    <row r="50" spans="1:5">
      <c r="A50" t="s">
        <v>226</v>
      </c>
      <c r="B50" s="11">
        <f>(195*1.24)/C7</f>
        <v>268.66666666666669</v>
      </c>
    </row>
    <row r="52" spans="1:5">
      <c r="A52" t="s">
        <v>207</v>
      </c>
      <c r="B52" s="11">
        <f>2500*12</f>
        <v>30000</v>
      </c>
      <c r="C52" s="11">
        <f>2500*12</f>
        <v>30000</v>
      </c>
    </row>
    <row r="53" spans="1:5">
      <c r="A53" t="s">
        <v>227</v>
      </c>
      <c r="B53" s="5">
        <f>B52/(B2*4)</f>
        <v>3.75</v>
      </c>
      <c r="C53" s="5">
        <f>C52/(B3*4)</f>
        <v>2.5</v>
      </c>
    </row>
    <row r="54" spans="1:5">
      <c r="B54" s="5"/>
      <c r="C54" s="5"/>
    </row>
    <row r="55" spans="1:5">
      <c r="A55" s="29" t="s">
        <v>228</v>
      </c>
      <c r="B55" s="29"/>
      <c r="C55" s="29"/>
      <c r="D55" s="29"/>
      <c r="E55" s="29"/>
    </row>
    <row r="56" spans="1:5">
      <c r="A56" s="28"/>
      <c r="B56" s="28"/>
      <c r="C56" s="28"/>
      <c r="D56" s="28"/>
      <c r="E56" s="28"/>
    </row>
    <row r="57" spans="1:5">
      <c r="A57" t="s">
        <v>229</v>
      </c>
      <c r="B57" s="11">
        <f>11*6*B2</f>
        <v>132000</v>
      </c>
      <c r="C57" s="11">
        <f>11*6*B3</f>
        <v>198000</v>
      </c>
    </row>
    <row r="59" spans="1:5">
      <c r="A59" t="s">
        <v>230</v>
      </c>
      <c r="B59" s="5">
        <f>(850*4)*28</f>
        <v>95200</v>
      </c>
      <c r="C59" s="5">
        <f>(850*4)*28</f>
        <v>95200</v>
      </c>
    </row>
    <row r="60" spans="1:5">
      <c r="A60" t="s">
        <v>231</v>
      </c>
      <c r="B60" s="5">
        <f>B59/B2</f>
        <v>47.6</v>
      </c>
      <c r="C60" s="5">
        <f>C59/B3</f>
        <v>31.733333333333334</v>
      </c>
    </row>
  </sheetData>
  <sheetProtection insertHyperlinks="0"/>
  <pageMargins left="0.25" right="0.25" top="0.75" bottom="0.75" header="0.3" footer="0.3"/>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T49"/>
  <sheetViews>
    <sheetView showGridLines="0" tabSelected="1" zoomScale="99" zoomScaleNormal="99" workbookViewId="0">
      <selection activeCell="D35" sqref="D35"/>
    </sheetView>
  </sheetViews>
  <sheetFormatPr baseColWidth="10" defaultColWidth="0" defaultRowHeight="15" zeroHeight="1"/>
  <cols>
    <col min="1" max="1" width="7.5703125" customWidth="1"/>
    <col min="2" max="2" width="37" customWidth="1"/>
    <col min="3" max="3" width="6.5703125" customWidth="1"/>
    <col min="4" max="12" width="11.42578125" customWidth="1"/>
    <col min="13" max="13" width="9.42578125" customWidth="1"/>
    <col min="14" max="20" width="11.42578125" customWidth="1"/>
    <col min="21" max="16384" width="11.42578125" hidden="1"/>
  </cols>
  <sheetData>
    <row r="1" spans="1:20" ht="9.75" customHeight="1">
      <c r="A1" s="173"/>
      <c r="B1" s="173"/>
      <c r="C1" s="173"/>
      <c r="D1" s="173"/>
      <c r="E1" s="173"/>
      <c r="F1" s="173"/>
      <c r="G1" s="173"/>
      <c r="H1" s="173"/>
      <c r="I1" s="173"/>
      <c r="J1" s="173"/>
      <c r="K1" s="173"/>
      <c r="L1" s="173"/>
      <c r="M1" s="173"/>
      <c r="N1" s="173"/>
      <c r="O1" s="173"/>
      <c r="P1" s="173"/>
      <c r="Q1" s="173"/>
      <c r="R1" s="173"/>
      <c r="S1" s="173"/>
      <c r="T1" s="173"/>
    </row>
    <row r="2" spans="1:20" ht="32.25" customHeight="1">
      <c r="A2" s="173"/>
      <c r="B2" s="184" t="s">
        <v>0</v>
      </c>
      <c r="C2" s="184"/>
      <c r="D2" s="184"/>
      <c r="E2" s="184"/>
      <c r="F2" s="184"/>
      <c r="G2" s="184"/>
      <c r="H2" s="174"/>
      <c r="I2" s="174"/>
      <c r="J2" s="174"/>
      <c r="K2" s="174"/>
      <c r="L2" s="174"/>
      <c r="M2" s="174"/>
      <c r="N2" s="174"/>
      <c r="O2" s="175"/>
      <c r="P2" s="176"/>
      <c r="Q2" s="173"/>
      <c r="R2" s="174"/>
      <c r="S2" s="174"/>
      <c r="T2" s="175"/>
    </row>
    <row r="3" spans="1:20" ht="35.25" customHeight="1">
      <c r="A3" s="173"/>
      <c r="B3" s="184"/>
      <c r="C3" s="184"/>
      <c r="D3" s="184"/>
      <c r="E3" s="184"/>
      <c r="F3" s="184"/>
      <c r="G3" s="184"/>
      <c r="H3" s="177"/>
      <c r="I3" s="177"/>
      <c r="J3" s="177"/>
      <c r="K3" s="179"/>
      <c r="L3" s="177"/>
      <c r="M3" s="178"/>
      <c r="N3" s="179"/>
      <c r="O3" s="179" t="s">
        <v>232</v>
      </c>
      <c r="P3" s="174"/>
      <c r="Q3" s="173"/>
      <c r="R3" s="178"/>
      <c r="S3" s="180" t="s">
        <v>233</v>
      </c>
      <c r="T3" s="177"/>
    </row>
    <row r="4" spans="1:20" ht="3.75" customHeight="1">
      <c r="A4" s="171"/>
      <c r="B4" s="171"/>
      <c r="C4" s="171"/>
      <c r="D4" s="171"/>
      <c r="E4" s="171"/>
      <c r="F4" s="171"/>
      <c r="G4" s="171"/>
      <c r="H4" s="171"/>
      <c r="I4" s="171"/>
      <c r="J4" s="171"/>
      <c r="K4" s="171"/>
      <c r="L4" s="171"/>
      <c r="M4" s="171"/>
      <c r="N4" s="171"/>
      <c r="O4" s="171"/>
      <c r="P4" s="171"/>
      <c r="Q4" s="171"/>
      <c r="R4" s="171"/>
      <c r="S4" s="171"/>
      <c r="T4" s="171"/>
    </row>
    <row r="5" spans="1:20" ht="12.75" customHeight="1">
      <c r="A5" s="181"/>
      <c r="B5" s="146"/>
      <c r="C5" s="146"/>
      <c r="D5" s="146"/>
      <c r="E5" s="146"/>
      <c r="F5" s="146"/>
      <c r="N5" s="185" t="s">
        <v>1</v>
      </c>
      <c r="O5" s="185"/>
      <c r="P5" s="185"/>
      <c r="Q5" s="185"/>
      <c r="R5" s="185"/>
    </row>
    <row r="6" spans="1:20" ht="30" customHeight="1" thickBot="1">
      <c r="N6" s="185"/>
      <c r="O6" s="185"/>
      <c r="P6" s="185"/>
      <c r="Q6" s="185"/>
      <c r="R6" s="185"/>
    </row>
    <row r="7" spans="1:20" ht="39" customHeight="1">
      <c r="B7" s="188" t="s">
        <v>2</v>
      </c>
      <c r="C7" s="189"/>
      <c r="D7" s="189"/>
      <c r="E7" s="189"/>
      <c r="F7" s="189"/>
      <c r="G7" s="189"/>
      <c r="H7" s="189"/>
      <c r="I7" s="189"/>
      <c r="J7" s="189"/>
      <c r="K7" s="189"/>
      <c r="L7" s="190"/>
    </row>
    <row r="8" spans="1:20" ht="30" customHeight="1">
      <c r="B8" s="197" t="s">
        <v>3</v>
      </c>
      <c r="C8" s="198"/>
      <c r="D8" s="137"/>
      <c r="E8" s="137"/>
      <c r="F8" s="137"/>
      <c r="G8" s="137"/>
      <c r="H8" s="137"/>
      <c r="I8" s="137"/>
      <c r="J8" s="137"/>
      <c r="K8" s="137"/>
      <c r="L8" s="138"/>
    </row>
    <row r="9" spans="1:20" ht="50.25" customHeight="1">
      <c r="B9" s="191" t="s">
        <v>4</v>
      </c>
      <c r="C9" s="192"/>
      <c r="D9" s="192"/>
      <c r="E9" s="192"/>
      <c r="F9" s="192"/>
      <c r="G9" s="192"/>
      <c r="H9" s="192"/>
      <c r="I9" s="192"/>
      <c r="J9" s="192"/>
      <c r="K9" s="192"/>
      <c r="L9" s="193"/>
    </row>
    <row r="10" spans="1:20" ht="60" customHeight="1" thickBot="1">
      <c r="B10" s="194" t="s">
        <v>5</v>
      </c>
      <c r="C10" s="195"/>
      <c r="D10" s="195"/>
      <c r="E10" s="195"/>
      <c r="F10" s="195"/>
      <c r="G10" s="195"/>
      <c r="H10" s="195"/>
      <c r="I10" s="195"/>
      <c r="J10" s="195"/>
      <c r="K10" s="195"/>
      <c r="L10" s="196"/>
    </row>
    <row r="11" spans="1:20"/>
    <row r="12" spans="1:20"/>
    <row r="13" spans="1:20" ht="18.75">
      <c r="B13" s="152" t="s">
        <v>6</v>
      </c>
      <c r="C13" s="152"/>
      <c r="D13" s="152"/>
      <c r="E13" s="152"/>
      <c r="F13" s="148"/>
    </row>
    <row r="14" spans="1:20" ht="18.75">
      <c r="B14" s="160" t="s">
        <v>7</v>
      </c>
      <c r="C14" s="153"/>
      <c r="D14" s="153"/>
      <c r="E14" s="153"/>
      <c r="F14" s="153"/>
      <c r="G14" s="153"/>
    </row>
    <row r="15" spans="1:20"/>
    <row r="16" spans="1:20"/>
    <row r="17" spans="2:5" ht="18" customHeight="1" thickBot="1">
      <c r="B17" s="34"/>
      <c r="C17" s="34"/>
      <c r="D17" s="170" t="s">
        <v>8</v>
      </c>
      <c r="E17" s="34"/>
    </row>
    <row r="18" spans="2:5" ht="18" customHeight="1" thickTop="1" thickBot="1">
      <c r="B18" s="35" t="str">
        <f>Kapitalkostnad!B5</f>
        <v>Brukstid makintid pr år</v>
      </c>
      <c r="C18" s="168" t="s">
        <v>9</v>
      </c>
      <c r="D18" s="169">
        <f>Kapitalkostnad!D5</f>
        <v>1500</v>
      </c>
      <c r="E18" s="36" t="s">
        <v>10</v>
      </c>
    </row>
    <row r="19" spans="2:5" ht="18" customHeight="1" thickTop="1">
      <c r="B19" s="15" t="s">
        <v>11</v>
      </c>
      <c r="C19" s="15"/>
      <c r="D19" s="37">
        <f>IF(Kapitalkostnad!B2="Kjøp",Kapitalkostnad!D24,0)</f>
        <v>0</v>
      </c>
      <c r="E19" s="22">
        <f>D19/$D$33</f>
        <v>0</v>
      </c>
    </row>
    <row r="20" spans="2:5" ht="18" customHeight="1">
      <c r="B20" s="15" t="s">
        <v>12</v>
      </c>
      <c r="C20" s="15"/>
      <c r="D20" s="37">
        <f>IF(Kapitalkostnad!B2="Leasing",Kapitalkostnad!D34,0)</f>
        <v>496.62192049768942</v>
      </c>
      <c r="E20" s="22">
        <f>D20/D33</f>
        <v>0.29135518822058698</v>
      </c>
    </row>
    <row r="21" spans="2:5" ht="18" customHeight="1">
      <c r="B21" s="15" t="s">
        <v>13</v>
      </c>
      <c r="C21" s="15"/>
      <c r="D21" s="37">
        <f>Forsikring!C4</f>
        <v>26.666666666666668</v>
      </c>
      <c r="E21" s="22">
        <f>D21/$D$33</f>
        <v>1.5644641054297699E-2</v>
      </c>
    </row>
    <row r="22" spans="2:5" ht="18" customHeight="1">
      <c r="B22" s="15" t="s">
        <v>14</v>
      </c>
      <c r="C22" s="15"/>
      <c r="D22" s="37">
        <f>'Oljer og diesel'!E7</f>
        <v>10</v>
      </c>
      <c r="E22" s="22">
        <f>D22/$D$33</f>
        <v>5.8667403953616372E-3</v>
      </c>
    </row>
    <row r="23" spans="2:5" ht="18" customHeight="1">
      <c r="B23" s="38" t="s">
        <v>15</v>
      </c>
      <c r="C23" s="38"/>
      <c r="D23" s="39">
        <f>'Service '!C5</f>
        <v>20</v>
      </c>
      <c r="E23" s="40">
        <f t="shared" ref="E23:E32" si="0">D23/$D$33</f>
        <v>1.1733480790723274E-2</v>
      </c>
    </row>
    <row r="24" spans="2:5" ht="18" customHeight="1">
      <c r="B24" s="41" t="s">
        <v>16</v>
      </c>
      <c r="C24" s="41"/>
      <c r="D24" s="39">
        <f>Reparasjoner!B6</f>
        <v>80</v>
      </c>
      <c r="E24" s="40">
        <f t="shared" si="0"/>
        <v>4.6933923162893097E-2</v>
      </c>
    </row>
    <row r="25" spans="2:5" ht="18" customHeight="1">
      <c r="B25" s="15" t="s">
        <v>17</v>
      </c>
      <c r="C25" s="15"/>
      <c r="D25" s="37">
        <f>Hjulutrustning!C7</f>
        <v>13.333333333333334</v>
      </c>
      <c r="E25" s="22">
        <f t="shared" si="0"/>
        <v>7.8223205271488495E-3</v>
      </c>
    </row>
    <row r="26" spans="2:5" ht="18" customHeight="1">
      <c r="B26" s="15" t="s">
        <v>18</v>
      </c>
      <c r="C26" s="15"/>
      <c r="D26" s="37">
        <f>Hjulutrustning!C13</f>
        <v>83.333333333333329</v>
      </c>
      <c r="E26" s="22">
        <f t="shared" si="0"/>
        <v>4.8889503294680309E-2</v>
      </c>
    </row>
    <row r="27" spans="2:5" ht="18" customHeight="1">
      <c r="B27" s="15" t="s">
        <v>19</v>
      </c>
      <c r="C27" s="15"/>
      <c r="D27" s="37">
        <f>'Administrasjon og planlegging'!D11</f>
        <v>80.833333333333329</v>
      </c>
      <c r="E27" s="22">
        <f t="shared" si="0"/>
        <v>4.7422818195839898E-2</v>
      </c>
    </row>
    <row r="28" spans="2:5" ht="18" customHeight="1">
      <c r="B28" s="15" t="s">
        <v>20</v>
      </c>
      <c r="C28" s="15"/>
      <c r="D28" s="37">
        <f>Lønn!C12</f>
        <v>425.42894117647069</v>
      </c>
      <c r="E28" s="22">
        <f t="shared" si="0"/>
        <v>0.24958811545559303</v>
      </c>
    </row>
    <row r="29" spans="2:5" ht="18" customHeight="1">
      <c r="B29" s="15" t="s">
        <v>21</v>
      </c>
      <c r="C29" s="15"/>
      <c r="D29" s="37">
        <f>'Administrasjon og planlegging'!D21</f>
        <v>60</v>
      </c>
      <c r="E29" s="22">
        <f t="shared" si="0"/>
        <v>3.5200442372169821E-2</v>
      </c>
    </row>
    <row r="30" spans="2:5" ht="18" customHeight="1">
      <c r="B30" s="15" t="s">
        <v>22</v>
      </c>
      <c r="C30" s="15"/>
      <c r="D30" s="37">
        <f>'Oljer og diesel'!E19</f>
        <v>204</v>
      </c>
      <c r="E30" s="22">
        <f t="shared" si="0"/>
        <v>0.11968150406537739</v>
      </c>
    </row>
    <row r="31" spans="2:5" ht="18" customHeight="1">
      <c r="B31" s="15" t="s">
        <v>23</v>
      </c>
      <c r="C31" s="15"/>
      <c r="D31" s="37">
        <f>Arbeidsbil!F16</f>
        <v>119</v>
      </c>
      <c r="E31" s="22">
        <f t="shared" si="0"/>
        <v>6.9814210704803481E-2</v>
      </c>
    </row>
    <row r="32" spans="2:5" ht="18" customHeight="1">
      <c r="B32" s="15" t="s">
        <v>24</v>
      </c>
      <c r="C32" s="15"/>
      <c r="D32" s="37">
        <f>Flytting!I46</f>
        <v>85.306504784313717</v>
      </c>
      <c r="E32" s="22">
        <f t="shared" si="0"/>
        <v>5.0047111760524406E-2</v>
      </c>
    </row>
    <row r="33" spans="1:20" ht="18" customHeight="1">
      <c r="B33" s="42" t="s">
        <v>25</v>
      </c>
      <c r="C33" s="42"/>
      <c r="D33" s="182">
        <f>SUM(D19:D32)</f>
        <v>1704.5240331251407</v>
      </c>
      <c r="E33" s="44">
        <f>SUM(E19:E32)</f>
        <v>0.99999999999999989</v>
      </c>
    </row>
    <row r="34" spans="1:20" ht="9.75" customHeight="1" thickBot="1">
      <c r="B34" s="141"/>
      <c r="C34" s="141"/>
      <c r="D34" s="142"/>
      <c r="E34" s="143"/>
    </row>
    <row r="35" spans="1:20" ht="30.75" customHeight="1" thickBot="1">
      <c r="B35" s="161" t="s">
        <v>26</v>
      </c>
      <c r="C35" s="161"/>
      <c r="D35" s="165">
        <v>168.51</v>
      </c>
      <c r="E35" s="162"/>
    </row>
    <row r="36" spans="1:20" ht="25.5" customHeight="1" thickBot="1">
      <c r="B36" s="163" t="s">
        <v>27</v>
      </c>
      <c r="C36" s="163"/>
      <c r="D36" s="165">
        <v>172.58</v>
      </c>
      <c r="E36" s="166" t="s">
        <v>28</v>
      </c>
    </row>
    <row r="37" spans="1:20" ht="32.25" customHeight="1" thickBot="1">
      <c r="B37" s="186" t="s">
        <v>29</v>
      </c>
      <c r="C37" s="187"/>
      <c r="D37" s="167">
        <f>D33/D35*D36</f>
        <v>1745.6931792578296</v>
      </c>
      <c r="E37" s="164">
        <f>-(1-(D37/D33))</f>
        <v>2.4152869265919197E-2</v>
      </c>
    </row>
    <row r="38" spans="1:20" ht="15.75" thickTop="1"/>
    <row r="39" spans="1:20" ht="4.1500000000000004" customHeight="1">
      <c r="A39" s="171"/>
      <c r="B39" s="171"/>
      <c r="C39" s="171"/>
      <c r="D39" s="171"/>
      <c r="E39" s="171"/>
      <c r="F39" s="171"/>
      <c r="G39" s="171"/>
      <c r="H39" s="171"/>
      <c r="I39" s="171"/>
      <c r="J39" s="171"/>
      <c r="K39" s="171"/>
      <c r="L39" s="171"/>
      <c r="M39" s="171"/>
      <c r="N39" s="171"/>
      <c r="O39" s="171"/>
      <c r="P39" s="171"/>
      <c r="Q39" s="171"/>
      <c r="R39" s="171"/>
      <c r="S39" s="171"/>
      <c r="T39" s="171"/>
    </row>
    <row r="40" spans="1:20" ht="15.75">
      <c r="A40" s="172"/>
      <c r="B40" s="183" t="s">
        <v>30</v>
      </c>
      <c r="C40" s="183"/>
      <c r="D40" s="183"/>
      <c r="E40" s="183"/>
      <c r="F40" s="183"/>
      <c r="G40" s="183"/>
      <c r="H40" s="183"/>
      <c r="I40" s="183"/>
      <c r="J40" s="183"/>
      <c r="K40" s="183"/>
      <c r="L40" s="183"/>
      <c r="M40" s="183"/>
      <c r="N40" s="172"/>
      <c r="O40" s="172"/>
      <c r="P40" s="172"/>
      <c r="Q40" s="172"/>
      <c r="R40" s="172"/>
      <c r="S40" s="172"/>
      <c r="T40" s="172"/>
    </row>
    <row r="41" spans="1:20" ht="15" customHeight="1">
      <c r="A41" s="172"/>
      <c r="B41" s="183"/>
      <c r="C41" s="183"/>
      <c r="D41" s="183"/>
      <c r="E41" s="183"/>
      <c r="F41" s="183"/>
      <c r="G41" s="183"/>
      <c r="H41" s="183"/>
      <c r="I41" s="183"/>
      <c r="J41" s="183"/>
      <c r="K41" s="183"/>
      <c r="L41" s="183"/>
      <c r="M41" s="183"/>
      <c r="N41" s="172"/>
      <c r="O41" s="172"/>
      <c r="P41" s="172"/>
      <c r="Q41" s="172"/>
      <c r="R41" s="172"/>
      <c r="S41" s="172"/>
      <c r="T41" s="172"/>
    </row>
    <row r="42" spans="1:20" ht="15.75">
      <c r="A42" s="172"/>
      <c r="B42" s="183"/>
      <c r="C42" s="183"/>
      <c r="D42" s="183"/>
      <c r="E42" s="183"/>
      <c r="F42" s="183"/>
      <c r="G42" s="183"/>
      <c r="H42" s="183"/>
      <c r="I42" s="183"/>
      <c r="J42" s="183"/>
      <c r="K42" s="183"/>
      <c r="L42" s="183"/>
      <c r="M42" s="183"/>
      <c r="N42" s="172"/>
      <c r="O42" s="172"/>
      <c r="P42" s="172"/>
      <c r="Q42" s="172"/>
      <c r="R42" s="172"/>
      <c r="S42" s="172"/>
      <c r="T42" s="172"/>
    </row>
    <row r="43" spans="1:20" hidden="1">
      <c r="A43" s="62"/>
    </row>
    <row r="46" spans="1:20" hidden="1">
      <c r="A46" s="2"/>
    </row>
    <row r="47" spans="1:20" hidden="1">
      <c r="A47" s="2"/>
    </row>
    <row r="48" spans="1:20" hidden="1">
      <c r="A48" s="7"/>
    </row>
    <row r="49" spans="1:1" hidden="1">
      <c r="A49" s="7"/>
    </row>
  </sheetData>
  <sheetProtection algorithmName="SHA-512" hashValue="lYY+Rg2bfl/vQhfVqK0bogTWRjee0XulWn/Ai03NUFtYxETaDvwop+fLVoz1NH7ZVWCZ/rQlIJI0/k5xZF2u3g==" saltValue="ZpEQUyW216Klpf5a1B6fWA==" spinCount="100000" sheet="1" selectLockedCells="1"/>
  <mergeCells count="8">
    <mergeCell ref="B40:M42"/>
    <mergeCell ref="B2:G3"/>
    <mergeCell ref="N5:R6"/>
    <mergeCell ref="B37:C37"/>
    <mergeCell ref="B7:L7"/>
    <mergeCell ref="B9:L9"/>
    <mergeCell ref="B10:L10"/>
    <mergeCell ref="B8:C8"/>
  </mergeCells>
  <pageMargins left="0.25" right="0.25" top="0.75" bottom="0.75" header="0.3" footer="0.3"/>
  <pageSetup paperSize="9" scale="6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A3FF-2646-478A-95C1-22852655EBCA}">
  <sheetPr>
    <tabColor rgb="FFFF0000"/>
  </sheetPr>
  <dimension ref="B1:L35"/>
  <sheetViews>
    <sheetView topLeftCell="A6" zoomScale="130" zoomScaleNormal="130" workbookViewId="0">
      <selection activeCell="E26" sqref="E26"/>
    </sheetView>
  </sheetViews>
  <sheetFormatPr baseColWidth="10" defaultColWidth="11.42578125" defaultRowHeight="15"/>
  <cols>
    <col min="1" max="1" width="7" customWidth="1"/>
    <col min="2" max="2" width="24.85546875" customWidth="1"/>
    <col min="3" max="3" width="3.42578125" customWidth="1"/>
    <col min="4" max="4" width="18" customWidth="1"/>
    <col min="5" max="5" width="22.85546875" customWidth="1"/>
    <col min="6" max="6" width="12.5703125" bestFit="1" customWidth="1"/>
  </cols>
  <sheetData>
    <row r="1" spans="2:12" ht="20.25" thickBot="1">
      <c r="B1" s="54" t="s">
        <v>31</v>
      </c>
      <c r="C1" s="54"/>
      <c r="D1" s="54"/>
      <c r="E1" s="54"/>
    </row>
    <row r="2" spans="2:12" ht="16.5" thickTop="1">
      <c r="B2" s="110" t="s">
        <v>12</v>
      </c>
      <c r="C2" s="74" t="s">
        <v>9</v>
      </c>
    </row>
    <row r="4" spans="2:12" ht="18" thickBot="1">
      <c r="B4" s="76" t="s">
        <v>32</v>
      </c>
      <c r="C4" s="76"/>
      <c r="D4" s="76"/>
      <c r="E4" s="76"/>
    </row>
    <row r="5" spans="2:12" ht="16.5" thickTop="1">
      <c r="B5" t="s">
        <v>33</v>
      </c>
      <c r="C5" s="74" t="s">
        <v>9</v>
      </c>
      <c r="D5" s="109">
        <v>1500</v>
      </c>
      <c r="E5" t="s">
        <v>34</v>
      </c>
      <c r="L5" s="123"/>
    </row>
    <row r="6" spans="2:12">
      <c r="B6" s="23" t="s">
        <v>35</v>
      </c>
      <c r="C6" s="23"/>
      <c r="D6" s="109">
        <v>15000</v>
      </c>
      <c r="E6" t="s">
        <v>34</v>
      </c>
      <c r="G6" s="145"/>
      <c r="H6" s="145" t="s">
        <v>36</v>
      </c>
      <c r="I6" s="66" t="s">
        <v>37</v>
      </c>
    </row>
    <row r="7" spans="2:12" ht="15.75" thickBot="1">
      <c r="B7" t="s">
        <v>38</v>
      </c>
      <c r="D7" s="111">
        <v>4800000</v>
      </c>
    </row>
    <row r="8" spans="2:12" ht="16.5" thickTop="1" thickBot="1">
      <c r="B8" t="s">
        <v>39</v>
      </c>
      <c r="D8" s="106">
        <f>D6/D5</f>
        <v>10</v>
      </c>
      <c r="E8" t="s">
        <v>40</v>
      </c>
    </row>
    <row r="9" spans="2:12" ht="15.75" thickTop="1">
      <c r="B9" t="s">
        <v>41</v>
      </c>
      <c r="D9" s="103">
        <v>1500000</v>
      </c>
    </row>
    <row r="10" spans="2:12">
      <c r="B10" t="s">
        <v>42</v>
      </c>
      <c r="D10" s="108">
        <v>0.05</v>
      </c>
    </row>
    <row r="11" spans="2:12">
      <c r="D11" s="60"/>
    </row>
    <row r="12" spans="2:12" hidden="1">
      <c r="B12" s="24" t="s">
        <v>43</v>
      </c>
      <c r="C12" s="24"/>
      <c r="D12" s="80"/>
      <c r="E12" s="24"/>
    </row>
    <row r="13" spans="2:12" hidden="1">
      <c r="B13" t="s">
        <v>44</v>
      </c>
      <c r="D13" s="79"/>
      <c r="E13">
        <v>-1</v>
      </c>
    </row>
    <row r="14" spans="2:12" hidden="1">
      <c r="D14" s="79" t="s">
        <v>45</v>
      </c>
      <c r="E14">
        <f>D10</f>
        <v>0.05</v>
      </c>
    </row>
    <row r="15" spans="2:12" hidden="1">
      <c r="D15" s="79" t="s">
        <v>46</v>
      </c>
      <c r="E15">
        <f>1+E14</f>
        <v>1.05</v>
      </c>
    </row>
    <row r="16" spans="2:12" hidden="1">
      <c r="B16" t="s">
        <v>47</v>
      </c>
      <c r="D16" s="79"/>
      <c r="E16">
        <f>POWER(E15,D8)</f>
        <v>1.6288946267774416</v>
      </c>
    </row>
    <row r="17" spans="2:6" hidden="1">
      <c r="B17" t="s">
        <v>48</v>
      </c>
      <c r="D17" s="79"/>
      <c r="E17">
        <f>E16-1</f>
        <v>0.62889462677744157</v>
      </c>
    </row>
    <row r="18" spans="2:6" hidden="1">
      <c r="D18" s="79"/>
    </row>
    <row r="19" spans="2:6" hidden="1">
      <c r="D19" s="79" t="s">
        <v>49</v>
      </c>
      <c r="E19" t="s">
        <v>50</v>
      </c>
    </row>
    <row r="20" spans="2:6" hidden="1">
      <c r="B20" t="s">
        <v>51</v>
      </c>
      <c r="D20" s="81">
        <f>(E14*E16)/E17</f>
        <v>0.1295045749654567</v>
      </c>
      <c r="E20" s="6"/>
    </row>
    <row r="21" spans="2:6" hidden="1">
      <c r="D21" s="82"/>
      <c r="E21" s="25"/>
    </row>
    <row r="22" spans="2:6" ht="18" thickBot="1">
      <c r="B22" s="76" t="s">
        <v>52</v>
      </c>
      <c r="C22" s="76"/>
      <c r="D22" s="83"/>
      <c r="E22" s="76"/>
    </row>
    <row r="23" spans="2:6" ht="15.75" thickTop="1">
      <c r="B23" t="s">
        <v>53</v>
      </c>
      <c r="D23" s="88">
        <f>(D7-(D9/E16))*D20</f>
        <v>502365.09738600714</v>
      </c>
    </row>
    <row r="24" spans="2:6" ht="15.75" thickBot="1">
      <c r="B24" s="72" t="s">
        <v>54</v>
      </c>
      <c r="C24" s="72"/>
      <c r="D24" s="87">
        <f>D23/D5</f>
        <v>334.91006492400476</v>
      </c>
    </row>
    <row r="25" spans="2:6" ht="21.75" customHeight="1" thickTop="1"/>
    <row r="26" spans="2:6" ht="18" thickBot="1">
      <c r="B26" s="76" t="s">
        <v>55</v>
      </c>
      <c r="C26" s="76"/>
      <c r="D26" s="77"/>
      <c r="E26" s="76"/>
    </row>
    <row r="27" spans="2:6" ht="15.75" thickTop="1">
      <c r="B27" t="s">
        <v>56</v>
      </c>
      <c r="D27" s="147">
        <f>D7</f>
        <v>4800000</v>
      </c>
    </row>
    <row r="28" spans="2:6">
      <c r="B28" t="s">
        <v>57</v>
      </c>
      <c r="D28" s="149">
        <v>1300000</v>
      </c>
    </row>
    <row r="29" spans="2:6">
      <c r="B29" t="s">
        <v>58</v>
      </c>
      <c r="D29" s="149">
        <v>500000</v>
      </c>
    </row>
    <row r="30" spans="2:6">
      <c r="B30" t="s">
        <v>59</v>
      </c>
      <c r="D30" s="150">
        <f>D10</f>
        <v>0.05</v>
      </c>
    </row>
    <row r="31" spans="2:6">
      <c r="B31" t="s">
        <v>60</v>
      </c>
      <c r="D31" s="148">
        <v>72</v>
      </c>
      <c r="E31" t="s">
        <v>61</v>
      </c>
    </row>
    <row r="32" spans="2:6" ht="15.75">
      <c r="B32" t="s">
        <v>62</v>
      </c>
      <c r="C32" s="68" t="s">
        <v>9</v>
      </c>
      <c r="D32" s="147">
        <f>-PMT(D30/12,D31,D27-D28,D29,1)</f>
        <v>62077.740062211175</v>
      </c>
      <c r="E32" s="151" t="s">
        <v>63</v>
      </c>
      <c r="F32" s="144"/>
    </row>
    <row r="33" spans="2:4">
      <c r="B33" t="s">
        <v>64</v>
      </c>
      <c r="D33" s="147">
        <f>D32*12</f>
        <v>744932.88074653409</v>
      </c>
    </row>
    <row r="34" spans="2:4" ht="15.75" thickBot="1">
      <c r="B34" s="72" t="s">
        <v>65</v>
      </c>
      <c r="C34" s="72"/>
      <c r="D34" s="87">
        <f>D33/D5</f>
        <v>496.62192049768942</v>
      </c>
    </row>
    <row r="35" spans="2:4" ht="15.75" thickTop="1"/>
  </sheetData>
  <sheetProtection selectLockedCells="1"/>
  <dataValidations count="1">
    <dataValidation type="list" allowBlank="1" showInputMessage="1" showErrorMessage="1" sqref="B2" xr:uid="{AAD2423E-7A76-4B15-9865-8FB3131FFFFD}">
      <formula1>"Kjøp,Leasing"</formula1>
    </dataValidation>
  </dataValidations>
  <hyperlinks>
    <hyperlink ref="H6" r:id="rId1" display="https://thor-heldal.no/leasing-kalkulator/" xr:uid="{FA9809EE-0B72-4216-8B90-3982C13C0E2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6008-4927-4A05-84A1-31EAF78A0053}">
  <sheetPr>
    <tabColor rgb="FFFF0000"/>
  </sheetPr>
  <dimension ref="A4:F14"/>
  <sheetViews>
    <sheetView zoomScale="135" zoomScaleNormal="135" workbookViewId="0">
      <selection activeCell="E11" sqref="E11:L13"/>
    </sheetView>
  </sheetViews>
  <sheetFormatPr baseColWidth="10" defaultColWidth="11.42578125" defaultRowHeight="15"/>
  <cols>
    <col min="1" max="1" width="36.28515625" customWidth="1"/>
    <col min="2" max="2" width="4.28515625" customWidth="1"/>
    <col min="3" max="3" width="13.5703125" bestFit="1" customWidth="1"/>
  </cols>
  <sheetData>
    <row r="4" spans="1:6" ht="20.25" thickBot="1">
      <c r="A4" s="54" t="s">
        <v>17</v>
      </c>
      <c r="B4" s="54"/>
      <c r="C4" s="54"/>
      <c r="D4" s="54"/>
    </row>
    <row r="5" spans="1:6" ht="16.5" thickTop="1">
      <c r="A5" s="23" t="s">
        <v>66</v>
      </c>
      <c r="B5" s="70" t="s">
        <v>9</v>
      </c>
      <c r="C5" s="85">
        <v>200000</v>
      </c>
      <c r="D5" s="28"/>
      <c r="E5" s="28"/>
      <c r="F5" s="28"/>
    </row>
    <row r="6" spans="1:6">
      <c r="A6" t="s">
        <v>67</v>
      </c>
      <c r="C6" s="84">
        <v>15000</v>
      </c>
      <c r="D6" t="s">
        <v>34</v>
      </c>
    </row>
    <row r="7" spans="1:6" ht="15.75" thickBot="1">
      <c r="A7" s="72" t="s">
        <v>68</v>
      </c>
      <c r="B7" s="72"/>
      <c r="C7" s="89">
        <f>C5/C6</f>
        <v>13.333333333333334</v>
      </c>
      <c r="D7" s="72" t="s">
        <v>69</v>
      </c>
    </row>
    <row r="8" spans="1:6" ht="15.75" thickTop="1"/>
    <row r="9" spans="1:6" ht="20.25" thickBot="1">
      <c r="A9" s="54" t="s">
        <v>18</v>
      </c>
      <c r="B9" s="54"/>
      <c r="C9" s="54"/>
      <c r="D9" s="54"/>
    </row>
    <row r="10" spans="1:6" ht="15.75" thickTop="1">
      <c r="A10" t="s">
        <v>70</v>
      </c>
      <c r="C10" s="85">
        <v>250000</v>
      </c>
    </row>
    <row r="11" spans="1:6">
      <c r="A11" t="s">
        <v>71</v>
      </c>
      <c r="C11" s="109">
        <v>3000</v>
      </c>
      <c r="D11" t="s">
        <v>34</v>
      </c>
    </row>
    <row r="12" spans="1:6" ht="15.75">
      <c r="A12" t="s">
        <v>72</v>
      </c>
      <c r="B12" s="70" t="s">
        <v>9</v>
      </c>
      <c r="C12" s="84">
        <v>10000</v>
      </c>
      <c r="D12" t="s">
        <v>73</v>
      </c>
    </row>
    <row r="13" spans="1:6" ht="15.75" thickBot="1">
      <c r="A13" s="72" t="s">
        <v>74</v>
      </c>
      <c r="B13" s="72"/>
      <c r="C13" s="89">
        <f>C10/C11</f>
        <v>83.333333333333329</v>
      </c>
      <c r="D13" s="72" t="s">
        <v>69</v>
      </c>
    </row>
    <row r="14" spans="1:6" ht="15.75" thickTop="1"/>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09BC-1E6E-4E89-9298-EF3EA4425271}">
  <sheetPr>
    <tabColor rgb="FFFF0000"/>
  </sheetPr>
  <dimension ref="A4:E14"/>
  <sheetViews>
    <sheetView zoomScale="150" zoomScaleNormal="150" workbookViewId="0">
      <selection activeCell="H11" sqref="H11"/>
    </sheetView>
  </sheetViews>
  <sheetFormatPr baseColWidth="10" defaultColWidth="11.42578125" defaultRowHeight="15"/>
  <cols>
    <col min="1" max="1" width="41.7109375" customWidth="1"/>
    <col min="2" max="2" width="6.140625" customWidth="1"/>
  </cols>
  <sheetData>
    <row r="4" spans="1:5" ht="20.25" thickBot="1">
      <c r="A4" s="54" t="s">
        <v>20</v>
      </c>
      <c r="B4" s="54"/>
      <c r="C4" s="54"/>
      <c r="D4" s="54"/>
    </row>
    <row r="5" spans="1:5" ht="15.75" thickTop="1">
      <c r="A5" t="s">
        <v>75</v>
      </c>
      <c r="C5" s="107">
        <v>300</v>
      </c>
      <c r="D5" t="s">
        <v>69</v>
      </c>
    </row>
    <row r="6" spans="1:5" ht="15.75">
      <c r="A6" s="66" t="s">
        <v>76</v>
      </c>
      <c r="B6" s="68" t="s">
        <v>9</v>
      </c>
      <c r="C6" s="108">
        <v>0.12</v>
      </c>
    </row>
    <row r="7" spans="1:5" ht="15.75">
      <c r="A7" s="66" t="s">
        <v>77</v>
      </c>
      <c r="B7" s="68" t="s">
        <v>9</v>
      </c>
      <c r="C7" s="108">
        <v>0.14099999999999999</v>
      </c>
    </row>
    <row r="8" spans="1:5">
      <c r="A8" s="66" t="s">
        <v>78</v>
      </c>
      <c r="B8" s="66"/>
      <c r="C8" s="108">
        <v>0.04</v>
      </c>
    </row>
    <row r="9" spans="1:5" ht="15.75">
      <c r="A9" s="66" t="s">
        <v>79</v>
      </c>
      <c r="B9" s="68" t="s">
        <v>9</v>
      </c>
      <c r="C9" s="108">
        <v>0.02</v>
      </c>
    </row>
    <row r="10" spans="1:5" ht="15.75">
      <c r="A10" s="66" t="s">
        <v>80</v>
      </c>
      <c r="B10" s="68" t="s">
        <v>9</v>
      </c>
      <c r="C10" s="108">
        <v>0.02</v>
      </c>
    </row>
    <row r="11" spans="1:5" ht="20.25" customHeight="1">
      <c r="A11" s="155" t="s">
        <v>81</v>
      </c>
      <c r="B11" s="68" t="s">
        <v>9</v>
      </c>
      <c r="C11" s="108">
        <v>0.85</v>
      </c>
      <c r="E11" s="154" t="s">
        <v>82</v>
      </c>
    </row>
    <row r="12" spans="1:5" ht="15.75" thickBot="1">
      <c r="A12" s="72" t="s">
        <v>83</v>
      </c>
      <c r="B12" s="72"/>
      <c r="C12" s="90">
        <f>(C5*(1+(C6+C7+C8+C9+C10)/C11))+(C5*C6*C7)</f>
        <v>425.42894117647069</v>
      </c>
      <c r="D12" s="72" t="s">
        <v>69</v>
      </c>
    </row>
    <row r="13" spans="1:5" ht="15.75" thickTop="1">
      <c r="C13" s="14"/>
    </row>
    <row r="14" spans="1:5">
      <c r="C14" s="14"/>
    </row>
  </sheetData>
  <sheetProtection selectLockedCells="1"/>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76DE-616D-48BE-8D58-32FDC171FB79}">
  <sheetPr>
    <tabColor rgb="FFFF0000"/>
  </sheetPr>
  <dimension ref="A2:E22"/>
  <sheetViews>
    <sheetView workbookViewId="0">
      <selection activeCell="E25" sqref="E25"/>
    </sheetView>
  </sheetViews>
  <sheetFormatPr baseColWidth="10" defaultColWidth="11.42578125" defaultRowHeight="15"/>
  <cols>
    <col min="1" max="1" width="7.28515625" customWidth="1"/>
    <col min="2" max="2" width="46.5703125" customWidth="1"/>
    <col min="3" max="3" width="4.28515625" customWidth="1"/>
    <col min="4" max="4" width="13.5703125" bestFit="1" customWidth="1"/>
  </cols>
  <sheetData>
    <row r="2" spans="1:4" ht="41.25" customHeight="1"/>
    <row r="3" spans="1:4" ht="20.25" thickBot="1">
      <c r="A3" s="54" t="s">
        <v>84</v>
      </c>
      <c r="B3" s="54"/>
      <c r="C3" s="54"/>
      <c r="D3" s="54"/>
    </row>
    <row r="4" spans="1:4" ht="15.75" thickTop="1">
      <c r="B4" t="s">
        <v>85</v>
      </c>
      <c r="D4" s="111">
        <v>150000</v>
      </c>
    </row>
    <row r="5" spans="1:4">
      <c r="B5" t="s">
        <v>86</v>
      </c>
      <c r="D5" s="111">
        <v>50000</v>
      </c>
    </row>
    <row r="6" spans="1:4">
      <c r="B6" t="s">
        <v>87</v>
      </c>
      <c r="D6" s="111">
        <v>600000</v>
      </c>
    </row>
    <row r="7" spans="1:4">
      <c r="B7" t="s">
        <v>88</v>
      </c>
      <c r="D7" s="111">
        <v>120000</v>
      </c>
    </row>
    <row r="8" spans="1:4">
      <c r="B8" t="s">
        <v>89</v>
      </c>
      <c r="D8" s="111">
        <v>50000</v>
      </c>
    </row>
    <row r="9" spans="1:4" ht="15.75" thickBot="1">
      <c r="A9" s="71" t="s">
        <v>90</v>
      </c>
      <c r="B9" s="71"/>
      <c r="C9" s="71"/>
      <c r="D9" s="112">
        <v>8</v>
      </c>
    </row>
    <row r="10" spans="1:4" ht="16.5" thickTop="1" thickBot="1">
      <c r="B10" t="s">
        <v>91</v>
      </c>
      <c r="D10" s="113">
        <f>SUM(D4:D8)/D9</f>
        <v>121250</v>
      </c>
    </row>
    <row r="11" spans="1:4" ht="16.5" thickTop="1" thickBot="1">
      <c r="B11" s="72" t="s">
        <v>92</v>
      </c>
      <c r="C11" s="72"/>
      <c r="D11" s="86">
        <f>D10/Kapitalkostnad!D5</f>
        <v>80.833333333333329</v>
      </c>
    </row>
    <row r="12" spans="1:4" ht="15.75" thickTop="1">
      <c r="D12" s="67"/>
    </row>
    <row r="15" spans="1:4" ht="20.25" thickBot="1">
      <c r="A15" s="54" t="s">
        <v>93</v>
      </c>
      <c r="B15" s="54"/>
      <c r="C15" s="54"/>
      <c r="D15" s="54"/>
    </row>
    <row r="16" spans="1:4" ht="30.75" thickTop="1">
      <c r="B16" s="64" t="s">
        <v>94</v>
      </c>
      <c r="C16" s="64"/>
      <c r="D16" s="70"/>
    </row>
    <row r="17" spans="2:5">
      <c r="B17" t="s">
        <v>95</v>
      </c>
      <c r="D17" s="112">
        <v>20</v>
      </c>
      <c r="E17" t="s">
        <v>96</v>
      </c>
    </row>
    <row r="18" spans="2:5" ht="15.75" thickBot="1">
      <c r="B18" t="s">
        <v>97</v>
      </c>
      <c r="D18" s="112">
        <v>1500</v>
      </c>
      <c r="E18" t="s">
        <v>98</v>
      </c>
    </row>
    <row r="19" spans="2:5" ht="16.5" thickTop="1" thickBot="1">
      <c r="B19" s="66" t="s">
        <v>99</v>
      </c>
      <c r="D19" s="114">
        <f>D17*D18</f>
        <v>30000</v>
      </c>
    </row>
    <row r="20" spans="2:5" ht="16.5" thickTop="1">
      <c r="B20" t="s">
        <v>100</v>
      </c>
      <c r="C20" s="70" t="s">
        <v>9</v>
      </c>
      <c r="D20" s="112">
        <v>3</v>
      </c>
      <c r="E20" t="s">
        <v>101</v>
      </c>
    </row>
    <row r="21" spans="2:5" ht="15.75" thickBot="1">
      <c r="B21" s="72" t="s">
        <v>102</v>
      </c>
      <c r="C21" s="72"/>
      <c r="D21" s="86">
        <f>D19*D20/Kapitalkostnad!D5</f>
        <v>60</v>
      </c>
    </row>
    <row r="22" spans="2:5" ht="15.75" thickTop="1">
      <c r="D22" s="69"/>
    </row>
  </sheetData>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F6DA-C053-4F96-A6A9-49F483FD7318}">
  <sheetPr>
    <tabColor rgb="FFFF0000"/>
  </sheetPr>
  <dimension ref="B2:E20"/>
  <sheetViews>
    <sheetView workbookViewId="0">
      <selection activeCell="C22" sqref="C22"/>
    </sheetView>
  </sheetViews>
  <sheetFormatPr baseColWidth="10" defaultColWidth="11.42578125" defaultRowHeight="15"/>
  <cols>
    <col min="2" max="2" width="14.85546875" customWidth="1"/>
    <col min="3" max="3" width="15.85546875" customWidth="1"/>
  </cols>
  <sheetData>
    <row r="2" spans="2:5" ht="20.25" thickBot="1">
      <c r="B2" s="54" t="s">
        <v>103</v>
      </c>
      <c r="C2" s="54"/>
      <c r="D2" s="54"/>
      <c r="E2" s="54"/>
    </row>
    <row r="3" spans="2:5" ht="16.5" thickTop="1" thickBot="1">
      <c r="C3" t="s">
        <v>104</v>
      </c>
      <c r="D3" t="s">
        <v>105</v>
      </c>
      <c r="E3" t="s">
        <v>69</v>
      </c>
    </row>
    <row r="4" spans="2:5" ht="16.5" thickTop="1" thickBot="1">
      <c r="B4" t="s">
        <v>106</v>
      </c>
      <c r="C4" s="107">
        <v>100</v>
      </c>
      <c r="D4" s="107">
        <v>50</v>
      </c>
      <c r="E4" s="115">
        <f>('Oljer og diesel'!C4*'Oljer og diesel'!D4)/Kapitalkostnad!D$5</f>
        <v>3.3333333333333335</v>
      </c>
    </row>
    <row r="5" spans="2:5" ht="16.5" thickTop="1" thickBot="1">
      <c r="B5" t="s">
        <v>107</v>
      </c>
      <c r="C5" s="107">
        <v>350</v>
      </c>
      <c r="D5" s="107">
        <v>20</v>
      </c>
      <c r="E5" s="115">
        <f>('Oljer og diesel'!C5*'Oljer og diesel'!D5)/Kapitalkostnad!D$5</f>
        <v>4.666666666666667</v>
      </c>
    </row>
    <row r="6" spans="2:5" ht="16.5" thickTop="1" thickBot="1">
      <c r="B6" t="s">
        <v>108</v>
      </c>
      <c r="C6" s="107">
        <v>50</v>
      </c>
      <c r="D6" s="107">
        <v>60</v>
      </c>
      <c r="E6" s="115">
        <f>('Oljer og diesel'!C6*'Oljer og diesel'!D6)/Kapitalkostnad!D$5</f>
        <v>2</v>
      </c>
    </row>
    <row r="7" spans="2:5" ht="16.5" thickTop="1" thickBot="1">
      <c r="B7" s="72" t="s">
        <v>109</v>
      </c>
      <c r="C7" s="72"/>
      <c r="D7" s="72"/>
      <c r="E7" s="91">
        <f>SUM(E4:E6)</f>
        <v>10</v>
      </c>
    </row>
    <row r="8" spans="2:5" ht="15.75" thickTop="1">
      <c r="E8" s="7"/>
    </row>
    <row r="10" spans="2:5" ht="20.25" thickBot="1">
      <c r="B10" s="54" t="s">
        <v>22</v>
      </c>
      <c r="C10" s="54"/>
      <c r="D10" s="54"/>
      <c r="E10" s="54"/>
    </row>
    <row r="11" spans="2:5" ht="16.5" thickTop="1" thickBot="1">
      <c r="B11" t="s">
        <v>110</v>
      </c>
      <c r="C11" t="s">
        <v>111</v>
      </c>
      <c r="D11" t="s">
        <v>112</v>
      </c>
      <c r="E11" t="s">
        <v>69</v>
      </c>
    </row>
    <row r="12" spans="2:5" ht="16.5" thickTop="1" thickBot="1">
      <c r="B12" t="s">
        <v>22</v>
      </c>
      <c r="C12" s="107">
        <v>13</v>
      </c>
      <c r="D12" s="107">
        <v>15</v>
      </c>
      <c r="E12" s="115">
        <f>C12*D12</f>
        <v>195</v>
      </c>
    </row>
    <row r="13" spans="2:5" ht="16.5" thickTop="1" thickBot="1">
      <c r="B13" t="s">
        <v>113</v>
      </c>
      <c r="C13" s="107">
        <v>0.5</v>
      </c>
      <c r="D13" s="107">
        <v>10</v>
      </c>
      <c r="E13" s="115">
        <f>C13*D13</f>
        <v>5</v>
      </c>
    </row>
    <row r="14" spans="2:5" ht="15.75" thickTop="1"/>
    <row r="15" spans="2:5" ht="20.25" thickBot="1">
      <c r="B15" s="54" t="s">
        <v>114</v>
      </c>
      <c r="C15" s="54"/>
      <c r="D15" s="54"/>
      <c r="E15" s="54"/>
    </row>
    <row r="16" spans="2:5" ht="15.75" thickTop="1">
      <c r="C16" t="s">
        <v>115</v>
      </c>
      <c r="D16" t="s">
        <v>116</v>
      </c>
    </row>
    <row r="17" spans="2:5" ht="15.75" thickBot="1">
      <c r="B17" t="s">
        <v>117</v>
      </c>
      <c r="C17" s="107">
        <v>30000</v>
      </c>
      <c r="D17" s="107">
        <v>5</v>
      </c>
    </row>
    <row r="18" spans="2:5" ht="16.5" thickTop="1" thickBot="1">
      <c r="B18" t="s">
        <v>118</v>
      </c>
      <c r="E18" s="115">
        <f>C17/D17/Kapitalkostnad!D5</f>
        <v>4</v>
      </c>
    </row>
    <row r="19" spans="2:5" ht="16.5" thickTop="1" thickBot="1">
      <c r="B19" s="72" t="s">
        <v>119</v>
      </c>
      <c r="C19" s="72"/>
      <c r="D19" s="72"/>
      <c r="E19" s="91">
        <f>SUM(E12:E18)</f>
        <v>204</v>
      </c>
    </row>
    <row r="20" spans="2:5" ht="15.75" thickTop="1"/>
  </sheetData>
  <sheetProtection select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C511-9172-4E2D-90CE-02B3B5BBF59A}">
  <sheetPr>
    <tabColor rgb="FFFF0000"/>
  </sheetPr>
  <dimension ref="A3:F10"/>
  <sheetViews>
    <sheetView zoomScale="131" zoomScaleNormal="131" workbookViewId="0">
      <selection activeCell="A7" sqref="A7:B7"/>
    </sheetView>
  </sheetViews>
  <sheetFormatPr baseColWidth="10" defaultColWidth="11.42578125" defaultRowHeight="15"/>
  <cols>
    <col min="1" max="1" width="13.5703125" customWidth="1"/>
    <col min="2" max="2" width="30.85546875" customWidth="1"/>
  </cols>
  <sheetData>
    <row r="3" spans="1:6" ht="20.25" thickBot="1">
      <c r="A3" s="54" t="s">
        <v>120</v>
      </c>
      <c r="B3" s="54"/>
      <c r="C3" s="54" t="s">
        <v>121</v>
      </c>
      <c r="D3" s="54"/>
    </row>
    <row r="4" spans="1:6" ht="15.75" thickTop="1">
      <c r="A4" s="199" t="s">
        <v>122</v>
      </c>
      <c r="B4" s="200"/>
      <c r="C4" s="103">
        <v>2500</v>
      </c>
      <c r="D4" s="28"/>
      <c r="E4" s="28"/>
      <c r="F4" s="28"/>
    </row>
    <row r="5" spans="1:6" ht="27" customHeight="1">
      <c r="A5" s="201" t="s">
        <v>123</v>
      </c>
      <c r="B5" s="202"/>
      <c r="C5" s="103">
        <v>10000</v>
      </c>
    </row>
    <row r="6" spans="1:6">
      <c r="A6" s="203" t="s">
        <v>124</v>
      </c>
      <c r="B6" s="203"/>
      <c r="C6" s="104">
        <v>200</v>
      </c>
    </row>
    <row r="7" spans="1:6">
      <c r="A7" s="203" t="s">
        <v>125</v>
      </c>
      <c r="B7" s="203"/>
      <c r="C7" s="104">
        <v>2000</v>
      </c>
    </row>
    <row r="8" spans="1:6">
      <c r="A8" s="105" t="s">
        <v>126</v>
      </c>
      <c r="B8" s="156"/>
      <c r="C8" s="104"/>
    </row>
    <row r="9" spans="1:6" ht="15.75" thickBot="1">
      <c r="A9" s="72" t="s">
        <v>127</v>
      </c>
      <c r="B9" s="72"/>
      <c r="C9" s="90">
        <f>SUM(C4:C8)/Kapitalkostnad!D5</f>
        <v>9.8000000000000007</v>
      </c>
      <c r="D9" s="72" t="s">
        <v>69</v>
      </c>
    </row>
    <row r="10" spans="1:6" ht="15.75" thickTop="1"/>
  </sheetData>
  <mergeCells count="4">
    <mergeCell ref="A4:B4"/>
    <mergeCell ref="A5:B5"/>
    <mergeCell ref="A6:B6"/>
    <mergeCell ref="A7:B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5BA1-033A-48F1-8549-854419B8A167}">
  <sheetPr>
    <tabColor rgb="FFFF0000"/>
  </sheetPr>
  <dimension ref="A2:I32"/>
  <sheetViews>
    <sheetView workbookViewId="0">
      <selection activeCell="A3" sqref="A3"/>
    </sheetView>
  </sheetViews>
  <sheetFormatPr baseColWidth="10" defaultColWidth="11.42578125" defaultRowHeight="15"/>
  <cols>
    <col min="4" max="4" width="7.5703125" customWidth="1"/>
    <col min="5" max="5" width="18.140625" customWidth="1"/>
    <col min="6" max="6" width="13.5703125" bestFit="1" customWidth="1"/>
  </cols>
  <sheetData>
    <row r="2" spans="1:7" ht="20.25" thickBot="1">
      <c r="B2" s="54" t="s">
        <v>23</v>
      </c>
      <c r="C2" s="54"/>
      <c r="D2" s="54"/>
      <c r="E2" s="54"/>
      <c r="F2" s="54"/>
    </row>
    <row r="3" spans="1:7" s="157" customFormat="1" ht="23.25" customHeight="1" thickTop="1">
      <c r="B3" s="158" t="s">
        <v>128</v>
      </c>
      <c r="C3" s="158"/>
      <c r="D3" s="158"/>
      <c r="E3" s="159" t="s">
        <v>129</v>
      </c>
    </row>
    <row r="5" spans="1:7" ht="15.75" thickBot="1">
      <c r="B5" s="129" t="str">
        <f>IF($E$3="Kjøregodtgjørelse","Antall km pr år","")</f>
        <v/>
      </c>
      <c r="C5" s="125"/>
      <c r="D5" s="125"/>
      <c r="E5" s="107" t="str">
        <f>IF($E$3="Kjøregodtgjørelse",15000,"")</f>
        <v/>
      </c>
      <c r="F5" s="130"/>
    </row>
    <row r="6" spans="1:7" ht="16.5" thickTop="1" thickBot="1">
      <c r="B6" s="131" t="str">
        <f>IF($E$3="Kjøregodtgjørelse","Sats pr kilometer","")</f>
        <v/>
      </c>
      <c r="C6" s="127"/>
      <c r="D6" s="127"/>
      <c r="E6" s="139" t="str">
        <f>IF($E$3="Kjøregodtgjørelse",4.5,"")</f>
        <v/>
      </c>
      <c r="F6" s="135" t="str">
        <f>IF(E3="Kjøregodtgjørelse",E5*E6," ")</f>
        <v xml:space="preserve"> </v>
      </c>
    </row>
    <row r="7" spans="1:7" ht="15.75" thickTop="1"/>
    <row r="8" spans="1:7" ht="30" customHeight="1">
      <c r="B8" s="204" t="str">
        <f>IF($E$3="Firmabil","Kostnad pr bil","")</f>
        <v>Kostnad pr bil</v>
      </c>
      <c r="C8" s="125"/>
      <c r="D8" s="125"/>
      <c r="E8" s="126" t="str">
        <f>IF(E3="Firmabil","Leasing eller verditap pr år","")</f>
        <v>Leasing eller verditap pr år</v>
      </c>
      <c r="F8" s="134" t="str">
        <f>IF($E$3="Firmabil","50000","")</f>
        <v>50000</v>
      </c>
      <c r="G8" t="str">
        <f>IF($E$3="Firmabil","kr","")</f>
        <v>kr</v>
      </c>
    </row>
    <row r="9" spans="1:7">
      <c r="B9" s="205"/>
      <c r="E9" s="123" t="str">
        <f>IF(E3="Firmabil","Forsikringspremie","")</f>
        <v>Forsikringspremie</v>
      </c>
      <c r="F9" s="133" t="str">
        <f>IF($E$3="Firmabil","4000","")</f>
        <v>4000</v>
      </c>
      <c r="G9" t="str">
        <f t="shared" ref="G9:G11" si="0">IF($E$3="Firmabil","kr","")</f>
        <v>kr</v>
      </c>
    </row>
    <row r="10" spans="1:7">
      <c r="B10" s="205"/>
      <c r="E10" s="123" t="str">
        <f>IF(E3="Firmabil","dekk og vedlikehold","")</f>
        <v>dekk og vedlikehold</v>
      </c>
      <c r="F10" s="133" t="str">
        <f>IF($E$3="Firmabil","15000","")</f>
        <v>15000</v>
      </c>
      <c r="G10" t="str">
        <f t="shared" si="0"/>
        <v>kr</v>
      </c>
    </row>
    <row r="11" spans="1:7">
      <c r="B11" s="206"/>
      <c r="C11" s="127"/>
      <c r="D11" s="127"/>
      <c r="E11" s="128" t="str">
        <f>IF(E3="Firmabil","drivstoff pr år","")</f>
        <v>drivstoff pr år</v>
      </c>
      <c r="F11" s="132" t="str">
        <f>IF($E$3="Firmabil","50000","")</f>
        <v>50000</v>
      </c>
      <c r="G11" t="str">
        <f t="shared" si="0"/>
        <v>kr</v>
      </c>
    </row>
    <row r="12" spans="1:7" ht="16.5" thickBot="1">
      <c r="A12" s="124" t="s">
        <v>130</v>
      </c>
      <c r="B12" t="str">
        <f>IF(E3="Firmabil","antall firmabiler knyttet til denne skogsmaskinen","")</f>
        <v>antall firmabiler knyttet til denne skogsmaskinen</v>
      </c>
      <c r="F12" s="140" t="str">
        <f>IF($E$3="Firmabil","1,5","")</f>
        <v>1,5</v>
      </c>
      <c r="G12" t="s">
        <v>131</v>
      </c>
    </row>
    <row r="13" spans="1:7" ht="16.5" thickTop="1" thickBot="1">
      <c r="F13" s="135">
        <f>IF(E3="Firmabil",((F8+F9+F10+F11)*F12)," ")</f>
        <v>178500</v>
      </c>
    </row>
    <row r="14" spans="1:7" ht="16.5" thickTop="1" thickBot="1"/>
    <row r="15" spans="1:7" ht="16.5" thickTop="1" thickBot="1">
      <c r="E15" s="123" t="s">
        <v>132</v>
      </c>
      <c r="F15" s="113">
        <f>IF($E$3="Firmabil",F13,F6)</f>
        <v>178500</v>
      </c>
    </row>
    <row r="16" spans="1:7" ht="16.5" thickTop="1" thickBot="1">
      <c r="B16" s="72"/>
      <c r="C16" s="72"/>
      <c r="D16" s="72"/>
      <c r="E16" s="136" t="s">
        <v>133</v>
      </c>
      <c r="F16" s="90">
        <f>F15/Kapitalkostnad!D5</f>
        <v>119</v>
      </c>
    </row>
    <row r="17" spans="1:9" ht="15.75" thickTop="1"/>
    <row r="19" spans="1:9" ht="18" thickBot="1">
      <c r="A19" s="76" t="s">
        <v>134</v>
      </c>
      <c r="B19" s="76"/>
      <c r="C19" s="76"/>
      <c r="D19" s="76"/>
    </row>
    <row r="20" spans="1:9" ht="15.75" thickTop="1">
      <c r="A20" s="223" t="s">
        <v>12</v>
      </c>
      <c r="B20" s="224"/>
      <c r="C20" s="224"/>
      <c r="D20" s="224"/>
      <c r="E20" s="224"/>
      <c r="F20" s="224"/>
      <c r="G20" s="224"/>
      <c r="H20" s="224"/>
      <c r="I20" s="225"/>
    </row>
    <row r="21" spans="1:9" ht="3" customHeight="1">
      <c r="A21" s="207" t="s">
        <v>135</v>
      </c>
      <c r="B21" s="208"/>
      <c r="C21" s="208"/>
      <c r="D21" s="208"/>
      <c r="E21" s="208"/>
      <c r="F21" s="208"/>
      <c r="G21" s="208"/>
      <c r="H21" s="208"/>
      <c r="I21" s="209"/>
    </row>
    <row r="22" spans="1:9">
      <c r="A22" s="210"/>
      <c r="B22" s="208"/>
      <c r="C22" s="208"/>
      <c r="D22" s="208"/>
      <c r="E22" s="208"/>
      <c r="F22" s="208"/>
      <c r="G22" s="208"/>
      <c r="H22" s="208"/>
      <c r="I22" s="209"/>
    </row>
    <row r="23" spans="1:9">
      <c r="A23" s="210"/>
      <c r="B23" s="208"/>
      <c r="C23" s="208"/>
      <c r="D23" s="208"/>
      <c r="E23" s="208"/>
      <c r="F23" s="208"/>
      <c r="G23" s="208"/>
      <c r="H23" s="208"/>
      <c r="I23" s="209"/>
    </row>
    <row r="24" spans="1:9">
      <c r="A24" s="210"/>
      <c r="B24" s="208"/>
      <c r="C24" s="208"/>
      <c r="D24" s="208"/>
      <c r="E24" s="208"/>
      <c r="F24" s="208"/>
      <c r="G24" s="208"/>
      <c r="H24" s="208"/>
      <c r="I24" s="209"/>
    </row>
    <row r="25" spans="1:9">
      <c r="A25" s="211"/>
      <c r="B25" s="212"/>
      <c r="C25" s="212"/>
      <c r="D25" s="212"/>
      <c r="E25" s="212"/>
      <c r="F25" s="212"/>
      <c r="G25" s="212"/>
      <c r="H25" s="212"/>
      <c r="I25" s="213"/>
    </row>
    <row r="27" spans="1:9" ht="24" customHeight="1">
      <c r="A27" s="220" t="s">
        <v>136</v>
      </c>
      <c r="B27" s="221"/>
      <c r="C27" s="221"/>
      <c r="D27" s="221"/>
      <c r="E27" s="221"/>
      <c r="F27" s="221"/>
      <c r="G27" s="221"/>
      <c r="H27" s="221"/>
      <c r="I27" s="222"/>
    </row>
    <row r="28" spans="1:9" ht="6" customHeight="1">
      <c r="A28" s="214" t="s">
        <v>137</v>
      </c>
      <c r="B28" s="215"/>
      <c r="C28" s="215"/>
      <c r="D28" s="215"/>
      <c r="E28" s="215"/>
      <c r="F28" s="215"/>
      <c r="G28" s="215"/>
      <c r="H28" s="215"/>
      <c r="I28" s="216"/>
    </row>
    <row r="29" spans="1:9" hidden="1">
      <c r="A29" s="214"/>
      <c r="B29" s="215"/>
      <c r="C29" s="215"/>
      <c r="D29" s="215"/>
      <c r="E29" s="215"/>
      <c r="F29" s="215"/>
      <c r="G29" s="215"/>
      <c r="H29" s="215"/>
      <c r="I29" s="216"/>
    </row>
    <row r="30" spans="1:9">
      <c r="A30" s="214"/>
      <c r="B30" s="215"/>
      <c r="C30" s="215"/>
      <c r="D30" s="215"/>
      <c r="E30" s="215"/>
      <c r="F30" s="215"/>
      <c r="G30" s="215"/>
      <c r="H30" s="215"/>
      <c r="I30" s="216"/>
    </row>
    <row r="31" spans="1:9">
      <c r="A31" s="214"/>
      <c r="B31" s="215"/>
      <c r="C31" s="215"/>
      <c r="D31" s="215"/>
      <c r="E31" s="215"/>
      <c r="F31" s="215"/>
      <c r="G31" s="215"/>
      <c r="H31" s="215"/>
      <c r="I31" s="216"/>
    </row>
    <row r="32" spans="1:9">
      <c r="A32" s="217"/>
      <c r="B32" s="218"/>
      <c r="C32" s="218"/>
      <c r="D32" s="218"/>
      <c r="E32" s="218"/>
      <c r="F32" s="218"/>
      <c r="G32" s="218"/>
      <c r="H32" s="218"/>
      <c r="I32" s="219"/>
    </row>
  </sheetData>
  <sheetProtection selectLockedCells="1"/>
  <mergeCells count="5">
    <mergeCell ref="B8:B11"/>
    <mergeCell ref="A21:I25"/>
    <mergeCell ref="A28:I32"/>
    <mergeCell ref="A27:I27"/>
    <mergeCell ref="A20:I20"/>
  </mergeCells>
  <dataValidations count="1">
    <dataValidation type="list" allowBlank="1" showInputMessage="1" showErrorMessage="1" sqref="E3" xr:uid="{62FC9964-8ACD-46BC-A51C-2732CB349406}">
      <formula1>"Kjøregodtgjørelse,Firmabil,"</formula1>
    </dataValidation>
  </dataValidations>
  <hyperlinks>
    <hyperlink ref="A29:I32" r:id="rId1" display="Dnske Bank:                                                                                                                                                                                                                                                          &quot;Bør bedrifter lease eller kjøpe firmabil og utstyr?&quot;" xr:uid="{B36F0182-FDED-4E94-9BC8-E41CF9D17529}"/>
    <hyperlink ref="A21" r:id="rId2" location="accordion-0-item-3" display="https://danskebank.no/bedrift/produkter-og-tjenester/finansiering/leasing?gclid=25c83108625d147a8f8e54327a21cc14&amp;gclsrc=3p.ds&amp;utm_source=bing&amp;utm_medium=cpc&amp;utm_campaign=Business.Leasing.Prospecting.Phrase&amp;utm_term=firmabil%20leasing&amp;utm_content=Firmabil%20%7C%C2%A0Phrase#accordion-0-item-3" xr:uid="{EB941A0B-F176-42E0-A555-3EDA4856BE97}"/>
    <hyperlink ref="A28" r:id="rId3" display="https://danskebank.no/nyheter/tips-og-raad-til-din-bedrift/kjoepe-eller-lease                                                                                                                                                                                                                                         &quot;Bør bedrifter lease eller kjøpe firmabil og utstyr?&quot;" xr:uid="{C8DE8CBF-6E91-4912-A276-CC8D736DEA79}"/>
  </hyperlinks>
  <pageMargins left="0.7" right="0.7" top="0.75" bottom="0.75" header="0.3" footer="0.3"/>
  <pageSetup paperSize="9" orientation="portrait"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C95903D9B810A458AB296B181C1EDAA" ma:contentTypeVersion="15" ma:contentTypeDescription="Opprett et nytt dokument." ma:contentTypeScope="" ma:versionID="3560befc31942a7c3d6580e8740a084f">
  <xsd:schema xmlns:xsd="http://www.w3.org/2001/XMLSchema" xmlns:xs="http://www.w3.org/2001/XMLSchema" xmlns:p="http://schemas.microsoft.com/office/2006/metadata/properties" xmlns:ns2="f25ea8e7-4a3e-4b59-85b6-141f072fd9d8" xmlns:ns3="34a689c7-aa7b-44e6-835d-1717fa374518" targetNamespace="http://schemas.microsoft.com/office/2006/metadata/properties" ma:root="true" ma:fieldsID="91934770eec40f7ae66cf621afe17251" ns2:_="" ns3:_="">
    <xsd:import namespace="f25ea8e7-4a3e-4b59-85b6-141f072fd9d8"/>
    <xsd:import namespace="34a689c7-aa7b-44e6-835d-1717fa3745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ea8e7-4a3e-4b59-85b6-141f072fd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b4d80d10-9a47-48d1-9541-931886bfefe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689c7-aa7b-44e6-835d-1717fa3745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81fd4-9d74-4f7b-8f89-d37825f05d41}" ma:internalName="TaxCatchAll" ma:showField="CatchAllData" ma:web="34a689c7-aa7b-44e6-835d-1717fa3745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5ea8e7-4a3e-4b59-85b6-141f072fd9d8">
      <Terms xmlns="http://schemas.microsoft.com/office/infopath/2007/PartnerControls"/>
    </lcf76f155ced4ddcb4097134ff3c332f>
    <TaxCatchAll xmlns="34a689c7-aa7b-44e6-835d-1717fa374518" xsi:nil="true"/>
    <SharedWithUsers xmlns="34a689c7-aa7b-44e6-835d-1717fa374518">
      <UserInfo>
        <DisplayName>Brede Lauten</DisplayName>
        <AccountId>13</AccountId>
        <AccountType/>
      </UserInfo>
    </SharedWithUsers>
  </documentManagement>
</p:properties>
</file>

<file path=customXml/itemProps1.xml><?xml version="1.0" encoding="utf-8"?>
<ds:datastoreItem xmlns:ds="http://schemas.openxmlformats.org/officeDocument/2006/customXml" ds:itemID="{5518DFF9-65FB-4F1E-BC21-0B6B471FB587}">
  <ds:schemaRefs>
    <ds:schemaRef ds:uri="http://schemas.microsoft.com/sharepoint/v3/contenttype/forms"/>
  </ds:schemaRefs>
</ds:datastoreItem>
</file>

<file path=customXml/itemProps2.xml><?xml version="1.0" encoding="utf-8"?>
<ds:datastoreItem xmlns:ds="http://schemas.openxmlformats.org/officeDocument/2006/customXml" ds:itemID="{D1D10317-19A4-407D-8F9D-DF100B34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ea8e7-4a3e-4b59-85b6-141f072fd9d8"/>
    <ds:schemaRef ds:uri="34a689c7-aa7b-44e6-835d-1717fa374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63A55-0DBC-489C-8AD2-8A3E2EF184E6}">
  <ds:schemaRefs>
    <ds:schemaRef ds:uri="34a689c7-aa7b-44e6-835d-1717fa374518"/>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f25ea8e7-4a3e-4b59-85b6-141f072fd9d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2</vt:i4>
      </vt:variant>
    </vt:vector>
  </HeadingPairs>
  <TitlesOfParts>
    <vt:vector size="16" baseType="lpstr">
      <vt:lpstr>Forside</vt:lpstr>
      <vt:lpstr>FORSIDE - Summerte kostnader</vt:lpstr>
      <vt:lpstr>Kapitalkostnad</vt:lpstr>
      <vt:lpstr>Hjulutrustning</vt:lpstr>
      <vt:lpstr>Lønn</vt:lpstr>
      <vt:lpstr>Administrasjon og planlegging</vt:lpstr>
      <vt:lpstr>Oljer og diesel</vt:lpstr>
      <vt:lpstr>Arbeidstøy og personlig utstyr</vt:lpstr>
      <vt:lpstr>Arbeidsbil</vt:lpstr>
      <vt:lpstr>Flytting</vt:lpstr>
      <vt:lpstr>Forsikring</vt:lpstr>
      <vt:lpstr>Service </vt:lpstr>
      <vt:lpstr>Reparasjoner</vt:lpstr>
      <vt:lpstr>Lassbærer SA</vt:lpstr>
      <vt:lpstr>'FORSIDE - Summerte kostnader'!Utskriftsområde</vt:lpstr>
      <vt:lpstr>'Lassbærer SA'!Utskriftsområde</vt:lpstr>
    </vt:vector>
  </TitlesOfParts>
  <Manager/>
  <Company>Norsk Institutt for Skog og Landskap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Birger Vennesland</dc:creator>
  <cp:keywords/>
  <dc:description/>
  <cp:lastModifiedBy>Mikael Fønhus</cp:lastModifiedBy>
  <cp:revision/>
  <dcterms:created xsi:type="dcterms:W3CDTF">2012-02-27T07:06:41Z</dcterms:created>
  <dcterms:modified xsi:type="dcterms:W3CDTF">2024-09-10T11:09:49Z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0x0101006C95903D9B810A458AB296B181C1EDAA</vt:lpwstr>
  </property>
  <property fmtid="{D5CDD505-2E9C-101B-9397-08002B2CF9AE}" pid="3" name="SkogkursDokumenttype">
    <vt:lpwstr>17;#Arbeidsdokument|d3bd8bfb-cd02-4979-a22f-832f746211ac</vt:lpwstr>
  </property>
  <property fmtid="{D5CDD505-2E9C-101B-9397-08002B2CF9AE}" pid="4" name="SkogkursOrganisasjon">
    <vt:lpwstr>6;#Skogkurs|c70ab0b2-6b57-410e-bd8b-9cdd4a188677</vt:lpwstr>
  </property>
  <property fmtid="{D5CDD505-2E9C-101B-9397-08002B2CF9AE}" pid="5" name="SkogkursFaggruppe">
    <vt:lpwstr>25;#Hogst og Skogsdrift|a6e39a63-9d60-43f0-9080-fdd0afc74b9d</vt:lpwstr>
  </property>
  <property fmtid="{D5CDD505-2E9C-101B-9397-08002B2CF9AE}" pid="6" name="i66a9f1ec3fa4a689f84cc7474b8912b">
    <vt:lpwstr>Hogst og Skogsdrift|a6e39a63-9d60-43f0-9080-fdd0afc74b9d</vt:lpwstr>
  </property>
  <property fmtid="{D5CDD505-2E9C-101B-9397-08002B2CF9AE}" pid="7" name="xd_Signature">
    <vt:bool>false</vt:bool>
  </property>
  <property fmtid="{D5CDD505-2E9C-101B-9397-08002B2CF9AE}" pid="8" name="xd_ProgID">
    <vt:lpwstr/>
  </property>
  <property fmtid="{D5CDD505-2E9C-101B-9397-08002B2CF9AE}" pid="9" name="TaxCatchAll">
    <vt:lpwstr>6;#;#25;#;#17;#</vt:lpwstr>
  </property>
  <property fmtid="{D5CDD505-2E9C-101B-9397-08002B2CF9AE}" pid="10" name="bad5b3d30a0e4b3ca3a5f01005d7fa1c">
    <vt:lpwstr>Arbeidsdokument|d3bd8bfb-cd02-4979-a22f-832f746211ac</vt:lpwstr>
  </property>
  <property fmtid="{D5CDD505-2E9C-101B-9397-08002B2CF9AE}" pid="11" name="SkogkursProsjektnr">
    <vt:lpwstr>611071</vt:lpwstr>
  </property>
  <property fmtid="{D5CDD505-2E9C-101B-9397-08002B2CF9AE}" pid="12" name="TemplateUrl">
    <vt:lpwstr/>
  </property>
  <property fmtid="{D5CDD505-2E9C-101B-9397-08002B2CF9AE}" pid="13" name="ComplianceAssetId">
    <vt:lpwstr/>
  </property>
  <property fmtid="{D5CDD505-2E9C-101B-9397-08002B2CF9AE}" pid="14" name="SkogkursProsjektLederNavn">
    <vt:lpwstr>Mikael Fønhus</vt:lpwstr>
  </property>
  <property fmtid="{D5CDD505-2E9C-101B-9397-08002B2CF9AE}" pid="15" name="dab0e79c66424b0796119da8b3e3d17f">
    <vt:lpwstr>Skogkurs|c70ab0b2-6b57-410e-bd8b-9cdd4a188677</vt:lpwstr>
  </property>
  <property fmtid="{D5CDD505-2E9C-101B-9397-08002B2CF9AE}" pid="16" name="AuthorIds_UIVersion_6144">
    <vt:lpwstr>14</vt:lpwstr>
  </property>
  <property fmtid="{D5CDD505-2E9C-101B-9397-08002B2CF9AE}" pid="17" name="MediaServiceImageTags">
    <vt:lpwstr/>
  </property>
</Properties>
</file>